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<sst xmlns="http://schemas.openxmlformats.org/spreadsheetml/2006/main" count="119" uniqueCount="106">
  <si>
    <t>Jabil Inc. (JBL)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</si>
  <si>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</si>
  <si>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</si>
  <si>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</si>
  <si>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</si>
  <si>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</si>
  <si>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</si>
  <si>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</si>
  <si>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</si>
  <si>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</si>
  <si>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</si>
  <si>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</si>
  <si>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</si>
  <si>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</si>
  <si>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</si>
  <si>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</si>
  <si>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</si>
  <si>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</si>
  <si>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</si>
  <si>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</si>
  <si>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</si>
  <si>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</si>
  <si>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</si>
  <si>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</si>
  <si>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+ 40bp, the spread for a AAA rating at 10.1x interest cover. Book interest / average debt was lower, at 4.9%.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</si>
  <si>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</si>
  <si>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</si>
  <si>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</si>
  <si>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</si>
  <si>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</si>
  <si>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</si>
  <si>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</si>
  <si>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2026-08-31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</si>
  <si>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</si>
  <si>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</si>
  <si>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</si>
  <si>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</si>
  <si>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</si>
  <si>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</si>
  <si>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</si>
  <si>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</si>
  <si>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</si>
  <si>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</si>
  <si>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</si>
  <si>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</si>
  <si>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</si>
  <si>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</si>
  <si>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</si>
  <si>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</si>
  <si>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FY36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</si>
  <si>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</si>
  <si>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</si>
  <si>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</si>
  <si>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</si>
  <si>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</si>
  <si>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</si>
  <si>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</si>
  <si>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</si>
  <si>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</si>
  <si>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</si>
  <si>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</si>
  <si>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</si>
  <si>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</si>
  <si>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</si>
  <si>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</si>
  <si>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</si>
  <si>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</si>
  <si>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</si>
  <si>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</si>
  <si>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</si>
  <si>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</si>
  <si>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</si>
  <si>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</si>
  <si>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</si>
  <si>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</si>
  <si>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</si>
  <si>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</si>
  <si>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</si>
  <si>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</si>
  <si>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</si>
  <si>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</si>
  <si>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</si>
  <si>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</si>
  <si>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</si>
  <si>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</si>
  <si>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</si>
  <si>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2026-08-31</t>
  </si>
  <si>
    <t>2025-08-31</t>
  </si>
  <si>
    <t>2024-08-31</t>
  </si>
  <si>
    <t>2023-08-31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</si>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</sst>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0.24559391806196817</v>
      </c>
    </row>
    <row r="7" spans="1:2" x14ac:dyDescent="0.25">
      <c r="A7" t="s">
        <v>4</v>
      </c>
      <c r="B7" s="5">
        <v>0.04873408427617189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0.023070181979238158</v>
      </c>
    </row>
    <row r="10" spans="1:3" x14ac:dyDescent="0.25">
      <c r="A10" t="s">
        <v>7</v>
      </c>
      <c r="B10" s="5">
        <v>0.02249892206386942</v>
      </c>
      <c r="C10" s="6" t="s">
        <v>8</v>
      </c>
    </row>
    <row r="11" spans="1:2" x14ac:dyDescent="0.25">
      <c r="A11" t="s">
        <v>9</v>
      </c>
      <c r="B11" s="5">
        <v>0.0411635692499486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12.06364638537942</v>
      </c>
    </row>
    <row r="14" spans="1:3" x14ac:dyDescent="0.25">
      <c r="A14" t="s">
        <v>12</v>
      </c>
      <c r="B14" s="5">
        <v>0.25191248104091263</v>
      </c>
      <c r="C14" s="6" t="s">
        <v>13</v>
      </c>
    </row>
    <row r="15" spans="1:3" x14ac:dyDescent="0.25">
      <c r="A15" t="s">
        <v>14</v>
      </c>
      <c r="B15" s="5">
        <v>0.022974536737986523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1.1976499999999999</v>
      </c>
      <c r="C19" s="6" t="s">
        <v>21</v>
      </c>
    </row>
    <row r="20" spans="1:2" x14ac:dyDescent="0.25">
      <c r="A20" t="s">
        <v>22</v>
      </c>
      <c r="B20" s="9">
        <f>B17+B19*B18</f>
        <v>0.09960059499999999</v>
      </c>
    </row>
    <row r="21" spans="1:3" x14ac:dyDescent="0.25">
      <c r="A21" t="s">
        <v>23</v>
      </c>
      <c r="B21" s="5">
        <v>0.05294</v>
      </c>
      <c r="C21" s="6" t="s">
        <v>24</v>
      </c>
    </row>
    <row r="22" spans="1:2" x14ac:dyDescent="0.25">
      <c r="A22" t="s">
        <v>25</v>
      </c>
      <c r="B22" s="10">
        <v>28083197952</v>
      </c>
    </row>
    <row r="23" spans="1:2" x14ac:dyDescent="0.25">
      <c r="A23" t="s">
        <v>26</v>
      </c>
      <c r="B23" s="10">
        <v>4020000000</v>
      </c>
    </row>
    <row r="24" spans="1:2" x14ac:dyDescent="0.25">
      <c r="A24" t="s">
        <v>27</v>
      </c>
      <c r="B24" s="9">
        <f>B22/(B22+B23)</f>
        <v>0.8747788302582622</v>
      </c>
    </row>
    <row r="25" spans="1:2" x14ac:dyDescent="0.25">
      <c r="A25" t="s">
        <v>28</v>
      </c>
      <c r="B25" s="9">
        <f>1-B24</f>
        <v>0.1252211697417378</v>
      </c>
    </row>
    <row r="26" spans="1:2" x14ac:dyDescent="0.25">
      <c r="A26" t="s">
        <v>29</v>
      </c>
      <c r="B26" s="11">
        <f>B24*B20+B25*B21*(1-B8)</f>
        <v>0.09236556688076772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35954000000</v>
      </c>
      <c r="C29" s="6" t="s">
        <v>32</v>
      </c>
    </row>
    <row r="30" spans="1:2" x14ac:dyDescent="0.25">
      <c r="A30" t="s">
        <v>33</v>
      </c>
      <c r="B30" s="10">
        <v>2281000000</v>
      </c>
    </row>
    <row r="31" spans="1:2" x14ac:dyDescent="0.25">
      <c r="A31" t="s">
        <v>34</v>
      </c>
      <c r="B31" s="12">
        <v>106900000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0.24559391806196817</v>
      </c>
      <c r="C5" s="5">
        <v>0.16275962156432855</v>
      </c>
      <c r="D5" s="5">
        <v>0.14553966886878747</v>
      </c>
      <c r="E5" s="5">
        <v>0.12831971617324642</v>
      </c>
      <c r="F5" s="5">
        <v>0.11109976347770534</v>
      </c>
      <c r="G5" s="5">
        <v>0.09387981078216427</v>
      </c>
      <c r="H5" s="5">
        <v>0.0766598580866232</v>
      </c>
      <c r="I5" s="5">
        <v>0.059439905391082126</v>
      </c>
      <c r="J5" s="5">
        <v>0.04221995269554106</v>
      </c>
      <c r="K5" s="5">
        <v>0.024999999999999994</v>
      </c>
    </row>
    <row r="6" spans="1:11" x14ac:dyDescent="0.25">
      <c r="A6" t="s">
        <v>50</v>
      </c>
      <c r="B6" s="18">
        <f>Assumptions!B29*(1+B5)</f>
        <v>44784083730</v>
      </c>
      <c r="C6" s="18">
        <f>B6*(1+C5)</f>
        <v>52073124250</v>
      </c>
      <c r="D6" s="18">
        <f>C6*(1+D5)</f>
        <v>59651829510.30823</v>
      </c>
      <c r="E6" s="18">
        <f>D6*(1+E5)</f>
        <v>67306335342.28586</v>
      </c>
      <c r="F6" s="18">
        <f>E6*(1+F5)</f>
        <v>74784053279.36493</v>
      </c>
      <c r="G6" s="18">
        <f>F6*(1+G5)</f>
        <v>81804766050.755</v>
      </c>
      <c r="H6" s="18">
        <f>G6*(1+H5)</f>
        <v>88075907807.01529</v>
      </c>
      <c r="I6" s="18">
        <f>H6*(1+I5)</f>
        <v>93311131434.29794</v>
      </c>
      <c r="J6" s="18">
        <f>I6*(1+J5)</f>
        <v>97250722989.42142</v>
      </c>
      <c r="K6" s="18">
        <f>J6*(1+K5)</f>
        <v>99681991064.15694</v>
      </c>
    </row>
    <row r="7" spans="1:11" x14ac:dyDescent="0.25">
      <c r="A7" t="s">
        <v>4</v>
      </c>
      <c r="B7" s="9">
        <f>Assumptions!B7</f>
        <v>0.04873408427617189</v>
      </c>
      <c r="C7" s="9">
        <f>Assumptions!B7</f>
        <v>0.04873408427617189</v>
      </c>
      <c r="D7" s="9">
        <f>Assumptions!B7</f>
        <v>0.04873408427617189</v>
      </c>
      <c r="E7" s="9">
        <f>Assumptions!B7</f>
        <v>0.04873408427617189</v>
      </c>
      <c r="F7" s="9">
        <f>Assumptions!B7</f>
        <v>0.04873408427617189</v>
      </c>
      <c r="G7" s="9">
        <f>Assumptions!B7</f>
        <v>0.04873408427617189</v>
      </c>
      <c r="H7" s="9">
        <f>Assumptions!B7</f>
        <v>0.04873408427617189</v>
      </c>
      <c r="I7" s="9">
        <f>Assumptions!B7</f>
        <v>0.04873408427617189</v>
      </c>
      <c r="J7" s="9">
        <f>Assumptions!B7</f>
        <v>0.04873408427617189</v>
      </c>
      <c r="K7" s="9">
        <f>Assumptions!B7</f>
        <v>0.04873408427617189</v>
      </c>
    </row>
    <row r="8" spans="1:11" x14ac:dyDescent="0.25">
      <c r="A8" t="s">
        <v>51</v>
      </c>
      <c r="B8" s="18">
        <f>B6*B7</f>
        <v>2182511310.728958</v>
      </c>
      <c r="C8" s="18">
        <f>C6*C7</f>
        <v>2537736025.72307</v>
      </c>
      <c r="D8" s="18">
        <f>D6*D7</f>
        <v>2907077286.5831985</v>
      </c>
      <c r="E8" s="18">
        <f>E6*E7</f>
        <v>3280112618.8912454</v>
      </c>
      <c r="F8" s="18">
        <f>F6*F7</f>
        <v>3644532355.030299</v>
      </c>
      <c r="G8" s="18">
        <f>G6*G7</f>
        <v>3986680362.9100194</v>
      </c>
      <c r="H8" s="18">
        <f>H6*H7</f>
        <v>4292298713.7674284</v>
      </c>
      <c r="I8" s="18">
        <f>I6*I7</f>
        <v>4547432543.224028</v>
      </c>
      <c r="J8" s="18">
        <f>J6*J7</f>
        <v>4739424930.085111</v>
      </c>
      <c r="K8" s="18">
        <f>K6*K7</f>
        <v>4857910553.337237</v>
      </c>
    </row>
    <row r="9" spans="1:11" x14ac:dyDescent="0.25">
      <c r="A9" t="s">
        <v>52</v>
      </c>
      <c r="B9" s="18">
        <f>B8*(1-Assumptions!B8)</f>
        <v>1724183935.475877</v>
      </c>
      <c r="C9" s="18">
        <f>C8*(1-Assumptions!B8)</f>
        <v>2004811460.3212254</v>
      </c>
      <c r="D9" s="18">
        <f>D8*(1-Assumptions!B8)</f>
        <v>2296591056.400727</v>
      </c>
      <c r="E9" s="18">
        <f>E8*(1-Assumptions!B8)</f>
        <v>2591288968.924084</v>
      </c>
      <c r="F9" s="18">
        <f>F8*(1-Assumptions!B8)</f>
        <v>2879180560.4739366</v>
      </c>
      <c r="G9" s="18">
        <f>G8*(1-Assumptions!B8)</f>
        <v>3149477486.6989155</v>
      </c>
      <c r="H9" s="18">
        <f>H8*(1-Assumptions!B8)</f>
        <v>3390915983.8762684</v>
      </c>
      <c r="I9" s="18">
        <f>I8*(1-Assumptions!B8)</f>
        <v>3592471709.146982</v>
      </c>
      <c r="J9" s="18">
        <f>J8*(1-Assumptions!B8)</f>
        <v>3744145694.7672377</v>
      </c>
      <c r="K9" s="18">
        <f>K8*(1-Assumptions!B8)</f>
        <v>3837749337.136418</v>
      </c>
    </row>
    <row r="10" spans="1:11" x14ac:dyDescent="0.25">
      <c r="A10" t="s">
        <v>53</v>
      </c>
      <c r="B10" s="18">
        <f>B6*Assumptions!B9</f>
        <v>1033176961.4245387</v>
      </c>
      <c r="C10" s="18">
        <f>C6*Assumptions!B9</f>
        <v>1201336452.6749794</v>
      </c>
      <c r="D10" s="18">
        <f>D6*Assumptions!B9</f>
        <v>1376178562.1972997</v>
      </c>
      <c r="E10" s="18">
        <f>E6*Assumptions!B9</f>
        <v>1552769404.7021635</v>
      </c>
      <c r="F10" s="18">
        <f>F6*Assumptions!B9</f>
        <v>1725281718.2999911</v>
      </c>
      <c r="G10" s="18">
        <f>G6*Assumptions!B9</f>
        <v>1887250839.5599215</v>
      </c>
      <c r="H10" s="18">
        <f>H6*Assumptions!B9</f>
        <v>2031927221.0944455</v>
      </c>
      <c r="I10" s="18">
        <f>I6*Assumptions!B9</f>
        <v>2152704782.8778634</v>
      </c>
      <c r="J10" s="18">
        <f>J6*Assumptions!B9</f>
        <v>2243591876.978432</v>
      </c>
      <c r="K10" s="18">
        <f>K6*Assumptions!B9</f>
        <v>2299681673.9028926</v>
      </c>
    </row>
    <row r="11" spans="1:11" x14ac:dyDescent="0.25">
      <c r="A11" t="s">
        <v>54</v>
      </c>
      <c r="B11" s="18">
        <f>-B6*B19</f>
        <v>-1007593609.5430726</v>
      </c>
      <c r="C11" s="18">
        <f>-C6*C19</f>
        <v>-1196490979.8904226</v>
      </c>
      <c r="D11" s="18">
        <f>-D6*D19</f>
        <v>-1399153898.6966808</v>
      </c>
      <c r="E11" s="18">
        <f>-E6*E19</f>
        <v>-1610879398.15482</v>
      </c>
      <c r="F11" s="18">
        <f>-F6*F19</f>
        <v>-1825610095.5903416</v>
      </c>
      <c r="G11" s="18">
        <f>-G6*G19</f>
        <v>-2036117768.450713</v>
      </c>
      <c r="H11" s="18">
        <f>-H6*H19</f>
        <v>-2234324924.0624385</v>
      </c>
      <c r="I11" s="18">
        <f>-I6*I19</f>
        <v>-2411755171.549963</v>
      </c>
      <c r="J11" s="18">
        <f>-J6*J19</f>
        <v>-2560085492.7506123</v>
      </c>
      <c r="K11" s="18">
        <f>-K6*K19</f>
        <v>-2671756415.312575</v>
      </c>
    </row>
    <row r="12" spans="1:11" x14ac:dyDescent="0.25">
      <c r="A12" t="s">
        <v>55</v>
      </c>
      <c r="B12" s="18">
        <f>-(B6-Assumptions!B29)*Assumptions!B11</f>
        <v>-363477763.10269946</v>
      </c>
      <c r="C12" s="18">
        <f>-(C6-B6)*Assumptions!B11</f>
        <v>-300042924.21070135</v>
      </c>
      <c r="D12" s="18">
        <f>-(D6-C6)*Assumptions!B11</f>
        <v>-311966558.80764747</v>
      </c>
      <c r="E12" s="18">
        <f>-(E6-D6)*Assumptions!B11</f>
        <v>-315086780.8887466</v>
      </c>
      <c r="F12" s="18">
        <f>-(F6-E6)*Assumptions!B11</f>
        <v>-307809560.13453716</v>
      </c>
      <c r="G12" s="18">
        <f>-(G6-F6)*Assumptions!B11</f>
        <v>-288997596.34911394</v>
      </c>
      <c r="H12" s="18">
        <f>-(H6-G6)*Assumptions!B11</f>
        <v>-258142577.9600645</v>
      </c>
      <c r="I12" s="18">
        <f>-(I6-H6)*Assumptions!B11</f>
        <v>-215500490.32061663</v>
      </c>
      <c r="J12" s="18">
        <f>-(J6-I6)*Assumptions!B11</f>
        <v>-162167649.79583782</v>
      </c>
      <c r="K12" s="18">
        <f>-(K6-J6)*Assumptions!B11</f>
        <v>-100079671.75956476</v>
      </c>
    </row>
    <row r="13" spans="1:11" x14ac:dyDescent="0.25">
      <c r="A13" s="19" t="s">
        <v>56</v>
      </c>
      <c r="B13" s="20">
        <f>B9+B10+B11+B12</f>
        <v>1386289524.2546437</v>
      </c>
      <c r="C13" s="20">
        <f>C9+C10+C11+C12</f>
        <v>1709614008.895081</v>
      </c>
      <c r="D13" s="20">
        <f>D9+D10+D11+D12</f>
        <v>1961649161.0936978</v>
      </c>
      <c r="E13" s="20">
        <f>E9+E10+E11+E12</f>
        <v>2218092194.5826807</v>
      </c>
      <c r="F13" s="20">
        <f>F9+F10+F11+F12</f>
        <v>2471042623.049049</v>
      </c>
      <c r="G13" s="20">
        <f>G9+G10+G11+G12</f>
        <v>2711612961.4590096</v>
      </c>
      <c r="H13" s="20">
        <f>H9+H10+H11+H12</f>
        <v>2930375702.9482107</v>
      </c>
      <c r="I13" s="20">
        <f>I9+I10+I11+I12</f>
        <v>3117920830.1542654</v>
      </c>
      <c r="J13" s="20">
        <f>J9+J10+J11+J12</f>
        <v>3265484429.19922</v>
      </c>
      <c r="K13" s="20">
        <f>K9+K10+K11+K12</f>
        <v>3365594923.9671707</v>
      </c>
    </row>
    <row r="14" spans="1:11" x14ac:dyDescent="0.25">
      <c r="A14" t="s">
        <v>57</v>
      </c>
      <c r="B14" s="21">
        <f>1/(1+Assumptions!$B$26)^(1-0.5*Assumptions!$B$32)</f>
        <v>0.9567886151358064</v>
      </c>
      <c r="C14" s="21">
        <f>1/(1+Assumptions!$B$26)^(2-0.5*Assumptions!$B$32)</f>
        <v>0.8758868314275969</v>
      </c>
      <c r="D14" s="21">
        <f>1/(1+Assumptions!$B$26)^(3-0.5*Assumptions!$B$32)</f>
        <v>0.8018257422088813</v>
      </c>
      <c r="E14" s="21">
        <f>1/(1+Assumptions!$B$26)^(4-0.5*Assumptions!$B$32)</f>
        <v>0.734026928822447</v>
      </c>
      <c r="F14" s="21">
        <f>1/(1+Assumptions!$B$26)^(5-0.5*Assumptions!$B$32)</f>
        <v>0.671960881116428</v>
      </c>
      <c r="G14" s="21">
        <f>1/(1+Assumptions!$B$26)^(6-0.5*Assumptions!$B$32)</f>
        <v>0.6151428619589333</v>
      </c>
      <c r="H14" s="21">
        <f>1/(1+Assumptions!$B$26)^(7-0.5*Assumptions!$B$32)</f>
        <v>0.5631291214308997</v>
      </c>
      <c r="I14" s="21">
        <f>1/(1+Assumptions!$B$26)^(8-0.5*Assumptions!$B$32)</f>
        <v>0.5155134311299336</v>
      </c>
      <c r="J14" s="21">
        <f>1/(1+Assumptions!$B$26)^(9-0.5*Assumptions!$B$32)</f>
        <v>0.47192391151798574</v>
      </c>
      <c r="K14" s="21">
        <f>1/(1+Assumptions!$B$26)^(10-0.5*Assumptions!$B$32)</f>
        <v>0.43202012753437186</v>
      </c>
    </row>
    <row r="15" spans="1:11" x14ac:dyDescent="0.25">
      <c r="A15" s="19" t="s">
        <v>58</v>
      </c>
      <c r="B15" s="20">
        <f>B13*B14</f>
        <v>1326386034.0888765</v>
      </c>
      <c r="C15" s="20">
        <f>C13*C14</f>
        <v>1497428397.215344</v>
      </c>
      <c r="D15" s="20">
        <f>D13*D14</f>
        <v>1572900794.5473835</v>
      </c>
      <c r="E15" s="20">
        <f>E13*E14</f>
        <v>1628139401.4345667</v>
      </c>
      <c r="F15" s="20">
        <f>F13*F14</f>
        <v>1660443978.2602885</v>
      </c>
      <c r="G15" s="20">
        <f>G13*G14</f>
        <v>1668029357.636834</v>
      </c>
      <c r="H15" s="20">
        <f>H13*H14</f>
        <v>1650179895.063681</v>
      </c>
      <c r="I15" s="20">
        <f>I13*I14</f>
        <v>1607330065.1443164</v>
      </c>
      <c r="J15" s="20">
        <f>J13*J14</f>
        <v>1541060184.828773</v>
      </c>
      <c r="K15" s="20">
        <f>K13*K14</f>
        <v>1454004748.2813315</v>
      </c>
    </row>
    <row r="17" spans="1:2" x14ac:dyDescent="0.25">
      <c r="A17" s="22" t="s">
        <v>59</v>
      </c>
      <c r="B17" s="23">
        <f>SUM(B15:K15)</f>
        <v>15605902856.501394</v>
      </c>
    </row>
    <row r="19" spans="1:11" x14ac:dyDescent="0.25">
      <c r="A19" t="s">
        <v>7</v>
      </c>
      <c r="B19" s="9">
        <f>Assumptions!$B$10+($B$20-Assumptions!$B$10)*0/9</f>
        <v>0.02249892206386942</v>
      </c>
      <c r="C19" s="9">
        <f>Assumptions!$B$10+($B$20-Assumptions!$B$10)*1/9</f>
        <v>0.02297713066237662</v>
      </c>
      <c r="D19" s="9">
        <f>Assumptions!$B$10+($B$20-Assumptions!$B$10)*2/9</f>
        <v>0.023455339260883824</v>
      </c>
      <c r="E19" s="9">
        <f>Assumptions!$B$10+($B$20-Assumptions!$B$10)*3/9</f>
        <v>0.023933547859391023</v>
      </c>
      <c r="F19" s="9">
        <f>Assumptions!$B$10+($B$20-Assumptions!$B$10)*4/9</f>
        <v>0.024411756457898223</v>
      </c>
      <c r="G19" s="9">
        <f>Assumptions!$B$10+($B$20-Assumptions!$B$10)*5/9</f>
        <v>0.024889965056405425</v>
      </c>
      <c r="H19" s="9">
        <f>Assumptions!$B$10+($B$20-Assumptions!$B$10)*6/9</f>
        <v>0.025368173654912625</v>
      </c>
      <c r="I19" s="9">
        <f>Assumptions!$B$10+($B$20-Assumptions!$B$10)*7/9</f>
        <v>0.025846382253419824</v>
      </c>
      <c r="J19" s="9">
        <f>Assumptions!$B$10+($B$20-Assumptions!$B$10)*8/9</f>
        <v>0.026324590851927027</v>
      </c>
      <c r="K19" s="9">
        <f>Assumptions!$B$10+($B$20-Assumptions!$B$10)*9/9</f>
        <v>0.026802799450434227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0.026802799450434227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3365594923.9671707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3845281282.5225997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0.09924081528909955</v>
      </c>
    </row>
    <row r="7" spans="1:2" x14ac:dyDescent="0.25">
      <c r="A7" t="s">
        <v>66</v>
      </c>
      <c r="B7" s="18">
        <f>-MAX(B5,0)*B6</f>
        <v>-381608849.49345714</v>
      </c>
    </row>
    <row r="8" spans="1:2" x14ac:dyDescent="0.25">
      <c r="A8" t="s">
        <v>67</v>
      </c>
      <c r="B8" s="18">
        <f>IF(OR(Assumptions!$B$33=0,Assumptions!B12&lt;=0),B5,MAX(B5+B7,0))</f>
        <v>3463672433.0291424</v>
      </c>
    </row>
    <row r="9" spans="1:2" x14ac:dyDescent="0.25">
      <c r="A9" t="s">
        <v>68</v>
      </c>
      <c r="B9" s="18">
        <f>B8*(1+Assumptions!B12)/(Assumptions!B26-Assumptions!B12)</f>
        <v>52701467652.43714</v>
      </c>
    </row>
    <row r="10" spans="1:2" x14ac:dyDescent="0.25">
      <c r="A10" t="s">
        <v>69</v>
      </c>
      <c r="B10" s="18">
        <f>B9/(1+Assumptions!B26)^(10-0.5*Assumptions!B32)</f>
        <v>22768094776.454468</v>
      </c>
    </row>
    <row r="11" spans="1:2" x14ac:dyDescent="0.25">
      <c r="A11" t="s">
        <v>70</v>
      </c>
      <c r="B11" s="18">
        <f>Forecast!B17+B10</f>
        <v>38373997632.955864</v>
      </c>
    </row>
    <row r="12" spans="1:2" x14ac:dyDescent="0.25">
      <c r="A12" t="s">
        <v>71</v>
      </c>
      <c r="B12" s="18">
        <f>-Assumptions!B30</f>
        <v>-2281000000</v>
      </c>
    </row>
    <row r="13" spans="1:2" x14ac:dyDescent="0.25">
      <c r="A13" t="s">
        <v>72</v>
      </c>
      <c r="B13" s="18">
        <f>B11+B12</f>
        <v>36092997632.955864</v>
      </c>
    </row>
    <row r="14" spans="1:2" x14ac:dyDescent="0.25">
      <c r="A14" s="19" t="s">
        <v>73</v>
      </c>
      <c r="B14" s="24">
        <f>B13/Assumptions!B31</f>
        <v>337.63328000894165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7157592227.240129</v>
      </c>
    </row>
    <row r="18" spans="1:2" x14ac:dyDescent="0.25">
      <c r="A18" t="s">
        <v>68</v>
      </c>
      <c r="B18" s="18">
        <f>B17*Assumptions!B13</f>
        <v>86346661600.16522</v>
      </c>
    </row>
    <row r="19" spans="1:2" x14ac:dyDescent="0.25">
      <c r="A19" t="s">
        <v>69</v>
      </c>
      <c r="B19" s="18">
        <f>B18/(1+Assumptions!B26)^(10-0.5*Assumptions!B32)</f>
        <v>37303495756.67063</v>
      </c>
    </row>
    <row r="20" spans="1:2" x14ac:dyDescent="0.25">
      <c r="A20" t="s">
        <v>70</v>
      </c>
      <c r="B20" s="18">
        <f>Forecast!B17+B19</f>
        <v>52909398613.17203</v>
      </c>
    </row>
    <row r="21" spans="1:2" x14ac:dyDescent="0.25">
      <c r="A21" t="s">
        <v>71</v>
      </c>
      <c r="B21" s="18">
        <f>-Assumptions!B30</f>
        <v>-2281000000</v>
      </c>
    </row>
    <row r="22" spans="1:2" x14ac:dyDescent="0.25">
      <c r="A22" t="s">
        <v>72</v>
      </c>
      <c r="B22" s="18">
        <f>B20+B21</f>
        <v>50628398613.17203</v>
      </c>
    </row>
    <row r="23" spans="1:2" x14ac:dyDescent="0.25">
      <c r="A23" s="19" t="s">
        <v>73</v>
      </c>
      <c r="B23" s="25">
        <f>B22/Assumptions!B31</f>
        <v>473.6052255675587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272.72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337.63328000894165</v>
      </c>
    </row>
    <row r="29" spans="1:2" x14ac:dyDescent="0.25">
      <c r="A29" s="19" t="s">
        <v>81</v>
      </c>
      <c r="B29" s="11">
        <f>B28/B26-1</f>
        <v>0.2380217072783133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0.072366</v>
      </c>
      <c r="B5" s="31">
        <v>451.2047633154066</v>
      </c>
      <c r="C5" s="31">
        <v>473.2125179172729</v>
      </c>
      <c r="D5" s="31">
        <v>500.1949065821184</v>
      </c>
      <c r="E5" s="31">
        <v>533.9132358044127</v>
      </c>
      <c r="F5" s="31">
        <v>577.0715442385934</v>
      </c>
    </row>
    <row r="6" spans="1:6" x14ac:dyDescent="0.25">
      <c r="A6" s="30">
        <v>0.082366</v>
      </c>
      <c r="B6" s="31">
        <v>375.5576080370769</v>
      </c>
      <c r="C6" s="31">
        <v>388.7917736041668</v>
      </c>
      <c r="D6" s="31">
        <v>404.58886528383516</v>
      </c>
      <c r="E6" s="31">
        <v>423.68302148055596</v>
      </c>
      <c r="F6" s="31">
        <v>447.11836599105635</v>
      </c>
    </row>
    <row r="7" spans="1:6" x14ac:dyDescent="0.25">
      <c r="A7" s="30">
        <v>0.092366</v>
      </c>
      <c r="B7" s="31">
        <v>319.7774289798893</v>
      </c>
      <c r="C7" s="31">
        <v>327.9914777934856</v>
      </c>
      <c r="D7" s="32">
        <v>337.6308158408856</v>
      </c>
      <c r="E7" s="31">
        <v>349.03824751081174</v>
      </c>
      <c r="F7" s="31">
        <v>362.6760920226255</v>
      </c>
    </row>
    <row r="8" spans="1:6" x14ac:dyDescent="0.25">
      <c r="A8" s="30">
        <v>0.102366</v>
      </c>
      <c r="B8" s="31">
        <v>277.022056740355</v>
      </c>
      <c r="C8" s="31">
        <v>282.18990981797083</v>
      </c>
      <c r="D8" s="31">
        <v>288.1953634775028</v>
      </c>
      <c r="E8" s="31">
        <v>295.21203528422654</v>
      </c>
      <c r="F8" s="31">
        <v>303.46508737049186</v>
      </c>
    </row>
    <row r="9" spans="1:6" x14ac:dyDescent="0.25">
      <c r="A9" s="30">
        <v>0.112366</v>
      </c>
      <c r="B9" s="31">
        <v>243.2617848910249</v>
      </c>
      <c r="C9" s="31">
        <v>246.50048403851966</v>
      </c>
      <c r="D9" s="31">
        <v>250.25207078564264</v>
      </c>
      <c r="E9" s="31">
        <v>254.6099491339775</v>
      </c>
      <c r="F9" s="31">
        <v>259.6916690928069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35954000000</v>
      </c>
      <c r="C5" s="18">
        <v>29802000000</v>
      </c>
      <c r="D5" s="18">
        <v>28883000000</v>
      </c>
      <c r="E5" s="18">
        <v>34702000000</v>
      </c>
      <c r="F5" s="6" t="s">
        <v>91</v>
      </c>
    </row>
    <row r="6" spans="1:6" x14ac:dyDescent="0.25">
      <c r="A6" t="s">
        <v>51</v>
      </c>
      <c r="B6" s="18">
        <v>1836000000</v>
      </c>
      <c r="C6" s="18">
        <v>1436000000</v>
      </c>
      <c r="D6" s="18">
        <v>1437000000</v>
      </c>
      <c r="E6" s="18">
        <v>1594000000</v>
      </c>
      <c r="F6" s="6" t="s">
        <v>92</v>
      </c>
    </row>
    <row r="7" spans="1:6" x14ac:dyDescent="0.25">
      <c r="A7" t="s">
        <v>93</v>
      </c>
      <c r="B7" s="18">
        <v>681000000</v>
      </c>
      <c r="C7" s="18">
        <v>674000000</v>
      </c>
      <c r="D7" s="18">
        <v>696000000</v>
      </c>
      <c r="E7" s="18">
        <v>924000000</v>
      </c>
      <c r="F7" s="6" t="s">
        <v>94</v>
      </c>
    </row>
    <row r="8" spans="1:6" x14ac:dyDescent="0.25">
      <c r="A8" t="s">
        <v>95</v>
      </c>
      <c r="B8" s="18">
        <v>628000000</v>
      </c>
      <c r="C8" s="18">
        <v>468000000</v>
      </c>
      <c r="D8" s="18">
        <v>784000000</v>
      </c>
      <c r="E8" s="18">
        <v>1030000000</v>
      </c>
      <c r="F8" s="6" t="s">
        <v>96</v>
      </c>
    </row>
    <row r="9" spans="1:6" x14ac:dyDescent="0.25">
      <c r="A9" t="s">
        <v>97</v>
      </c>
      <c r="B9" s="18">
        <v>-138000000</v>
      </c>
      <c r="C9" s="18">
        <v>-187000000</v>
      </c>
      <c r="D9" s="18">
        <v>-472000000</v>
      </c>
      <c r="E9" s="18">
        <v>206000000</v>
      </c>
      <c r="F9" s="6" t="s">
        <v>98</v>
      </c>
    </row>
    <row r="10" spans="1:6" x14ac:dyDescent="0.25">
      <c r="A10" t="s">
        <v>99</v>
      </c>
      <c r="B10" s="18">
        <v>4020000000</v>
      </c>
      <c r="C10" s="18">
        <v>3366000000</v>
      </c>
      <c r="D10" s="18">
        <v>3257000000</v>
      </c>
      <c r="E10" s="18">
        <v>3248000000</v>
      </c>
      <c r="F10" s="6" t="s">
        <v>100</v>
      </c>
    </row>
    <row r="11" spans="1:6" x14ac:dyDescent="0.25">
      <c r="A11" t="s">
        <v>101</v>
      </c>
      <c r="B11" s="18">
        <v>1739000000</v>
      </c>
      <c r="C11" s="18">
        <v>1933000000</v>
      </c>
      <c r="D11" s="18">
        <v>2201000000</v>
      </c>
      <c r="E11" s="18">
        <v>1804000000</v>
      </c>
      <c r="F11" s="6" t="s">
        <v>102</v>
      </c>
    </row>
    <row r="12" spans="1:6" x14ac:dyDescent="0.25">
      <c r="A12" t="s">
        <v>34</v>
      </c>
      <c r="B12" s="34">
        <v>106900000</v>
      </c>
      <c r="C12" s="34">
        <v>110900000</v>
      </c>
      <c r="D12" s="34">
        <v>124300000</v>
      </c>
      <c r="E12" s="34">
        <v>135900000</v>
      </c>
      <c r="F12" s="6" t="s">
        <v>103</v>
      </c>
    </row>
    <row r="15" spans="1:1" x14ac:dyDescent="0.25">
      <c r="A15" s="19" t="s">
        <v>104</v>
      </c>
    </row>
    <row r="17" spans="1:1" x14ac:dyDescent="0.25">
      <c r="A17" s="35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