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<sst xmlns="http://schemas.openxmlformats.org/spreadsheetml/2006/main" count="120" uniqueCount="107">
  <si>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Johnson Controls International plc (JCI)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</si>
  <si>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</si>
  <si>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</si>
  <si>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</si>
  <si>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</si>
  <si>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</si>
  <si>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</si>
  <si>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</si>
  <si>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</si>
  <si>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</si>
  <si>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</si>
  <si>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</si>
  <si>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</si>
  <si>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</si>
  <si>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</si>
  <si>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</si>
  <si>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</si>
  <si>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</si>
  <si>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</si>
  <si>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</si>
  <si>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</si>
  <si>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</si>
  <si>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</si>
  <si>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</si>
  <si>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12.5x interest cover. Book interest / average debt was lower, at 2.3%.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</si>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</sst>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0.20064886082386835</v>
      </c>
    </row>
    <row r="7" spans="1:2" x14ac:dyDescent="0.25">
      <c r="A7" t="s">
        <v>4</v>
      </c>
      <c r="B7" s="5">
        <v>0.10771098993214537</v>
      </c>
    </row>
    <row r="8" spans="1:2" x14ac:dyDescent="0.25">
      <c r="A8" t="s">
        <v>5</v>
      </c>
      <c r="B8" s="5">
        <v>0.09867949938901863</v>
      </c>
    </row>
    <row r="9" spans="1:2" x14ac:dyDescent="0.25">
      <c r="A9" t="s">
        <v>6</v>
      </c>
      <c r="B9" s="5">
        <v>0.035079082384478405</v>
      </c>
    </row>
    <row r="10" spans="1:3" x14ac:dyDescent="0.25">
      <c r="A10" t="s">
        <v>7</v>
      </c>
      <c r="B10" s="5">
        <v>0.02087168847737711</v>
      </c>
      <c r="C10" s="6" t="s">
        <v>8</v>
      </c>
    </row>
    <row r="11" spans="1:2" x14ac:dyDescent="0.25">
      <c r="A11" t="s">
        <v>9</v>
      </c>
      <c r="B11" s="5">
        <v>0.19146185283100897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0.09424938662057658</v>
      </c>
      <c r="C14" s="6" t="s">
        <v>13</v>
      </c>
    </row>
    <row r="15" spans="1:3" x14ac:dyDescent="0.25">
      <c r="A15" t="s">
        <v>14</v>
      </c>
      <c r="B15" s="5">
        <v>0.035079082384478405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1.19363</v>
      </c>
      <c r="C19" s="6" t="s">
        <v>21</v>
      </c>
    </row>
    <row r="20" spans="1:2" x14ac:dyDescent="0.25">
      <c r="A20" t="s">
        <v>22</v>
      </c>
      <c r="B20" s="9">
        <f>B17+B19*B18</f>
        <v>0.09943054900000001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88735064064</v>
      </c>
    </row>
    <row r="23" spans="1:2" x14ac:dyDescent="0.25">
      <c r="A23" t="s">
        <v>26</v>
      </c>
      <c r="B23" s="10">
        <v>9880000000</v>
      </c>
    </row>
    <row r="24" spans="1:2" x14ac:dyDescent="0.25">
      <c r="A24" t="s">
        <v>27</v>
      </c>
      <c r="B24" s="9">
        <f>B22/(B22+B23)</f>
        <v>0.8998124668500139</v>
      </c>
    </row>
    <row r="25" spans="1:2" x14ac:dyDescent="0.25">
      <c r="A25" t="s">
        <v>28</v>
      </c>
      <c r="B25" s="9">
        <f>1-B24</f>
        <v>0.10018753314998607</v>
      </c>
    </row>
    <row r="26" spans="1:2" x14ac:dyDescent="0.25">
      <c r="A26" t="s">
        <v>29</v>
      </c>
      <c r="B26" s="11">
        <f>B24*B20+B25*B21*(1-B8)</f>
        <v>0.09424938662057658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23596000000</v>
      </c>
      <c r="C29" s="6" t="s">
        <v>32</v>
      </c>
    </row>
    <row r="30" spans="1:2" x14ac:dyDescent="0.25">
      <c r="A30" t="s">
        <v>33</v>
      </c>
      <c r="B30" s="10">
        <v>9501000000</v>
      </c>
    </row>
    <row r="31" spans="1:2" x14ac:dyDescent="0.25">
      <c r="A31" t="s">
        <v>34</v>
      </c>
      <c r="B31" s="12">
        <v>654100000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0.20064886082386835</v>
      </c>
      <c r="C5" s="5">
        <v>0.08294885926397355</v>
      </c>
      <c r="D5" s="5">
        <v>0.07570525185597686</v>
      </c>
      <c r="E5" s="5">
        <v>0.06846164444798017</v>
      </c>
      <c r="F5" s="5">
        <v>0.06121803703998347</v>
      </c>
      <c r="G5" s="5">
        <v>0.05397442963198677</v>
      </c>
      <c r="H5" s="5">
        <v>0.04673082222399008</v>
      </c>
      <c r="I5" s="5">
        <v>0.03948721481599339</v>
      </c>
      <c r="J5" s="5">
        <v>0.03224360740799669</v>
      </c>
      <c r="K5" s="5">
        <v>0.025</v>
      </c>
    </row>
    <row r="6" spans="1:11" x14ac:dyDescent="0.25">
      <c r="A6" t="s">
        <v>50</v>
      </c>
      <c r="B6" s="18">
        <f>Assumptions!B29*(1+B5)</f>
        <v>28330510519.999996</v>
      </c>
      <c r="C6" s="18">
        <f>B6*(1+C5)</f>
        <v>30680494049.999996</v>
      </c>
      <c r="D6" s="18">
        <f>C6*(1+D5)</f>
        <v>33003168579.121044</v>
      </c>
      <c r="E6" s="18">
        <f>D6*(1+E5)</f>
        <v>35262619772.04158</v>
      </c>
      <c r="F6" s="18">
        <f>E6*(1+F5)</f>
        <v>37421328135.373276</v>
      </c>
      <c r="G6" s="18">
        <f>F6*(1+G5)</f>
        <v>39441122977.55147</v>
      </c>
      <c r="H6" s="18">
        <f>G6*(1+H5)</f>
        <v>41284239083.72996</v>
      </c>
      <c r="I6" s="18">
        <f>H6*(1+I5)</f>
        <v>42914438700.94404</v>
      </c>
      <c r="J6" s="18">
        <f>I6*(1+J5)</f>
        <v>44298155014.55181</v>
      </c>
      <c r="K6" s="18">
        <f>J6*(1+K5)</f>
        <v>45405608889.9156</v>
      </c>
    </row>
    <row r="7" spans="1:11" x14ac:dyDescent="0.25">
      <c r="A7" t="s">
        <v>4</v>
      </c>
      <c r="B7" s="9">
        <f>Assumptions!B7</f>
        <v>0.10771098993214537</v>
      </c>
      <c r="C7" s="9">
        <f>Assumptions!B7</f>
        <v>0.10771098993214537</v>
      </c>
      <c r="D7" s="9">
        <f>Assumptions!B7</f>
        <v>0.10771098993214537</v>
      </c>
      <c r="E7" s="9">
        <f>Assumptions!B7</f>
        <v>0.10771098993214537</v>
      </c>
      <c r="F7" s="9">
        <f>Assumptions!B7</f>
        <v>0.10771098993214537</v>
      </c>
      <c r="G7" s="9">
        <f>Assumptions!B7</f>
        <v>0.10771098993214537</v>
      </c>
      <c r="H7" s="9">
        <f>Assumptions!B7</f>
        <v>0.10771098993214537</v>
      </c>
      <c r="I7" s="9">
        <f>Assumptions!B7</f>
        <v>0.10771098993214537</v>
      </c>
      <c r="J7" s="9">
        <f>Assumptions!B7</f>
        <v>0.10771098993214537</v>
      </c>
      <c r="K7" s="9">
        <f>Assumptions!B7</f>
        <v>0.10771098993214537</v>
      </c>
    </row>
    <row r="8" spans="1:11" x14ac:dyDescent="0.25">
      <c r="A8" t="s">
        <v>51</v>
      </c>
      <c r="B8" s="18">
        <f>B6*B7</f>
        <v>3051507333.392258</v>
      </c>
      <c r="C8" s="18">
        <f>C6*C7</f>
        <v>3304626385.7327952</v>
      </c>
      <c r="D8" s="18">
        <f>D6*D7</f>
        <v>3554803958.554603</v>
      </c>
      <c r="E8" s="18">
        <f>E6*E7</f>
        <v>3798171683.247441</v>
      </c>
      <c r="F8" s="18">
        <f>F6*F7</f>
        <v>4030688298.0366993</v>
      </c>
      <c r="G8" s="18">
        <f>G6*G7</f>
        <v>4248242399.9475536</v>
      </c>
      <c r="H8" s="18">
        <f>H6*H7</f>
        <v>4446766260.30392</v>
      </c>
      <c r="I8" s="18">
        <f>I6*I7</f>
        <v>4622356674.8610525</v>
      </c>
      <c r="J8" s="18">
        <f>J6*J7</f>
        <v>4771398128.785005</v>
      </c>
      <c r="K8" s="18">
        <f>K6*K7</f>
        <v>4890683082.00463</v>
      </c>
    </row>
    <row r="9" spans="1:11" x14ac:dyDescent="0.25">
      <c r="A9" t="s">
        <v>52</v>
      </c>
      <c r="B9" s="18">
        <f>B8*(1-Assumptions!B8)</f>
        <v>2750386117.351191</v>
      </c>
      <c r="C9" s="18">
        <f>C8*(1-Assumptions!B8)</f>
        <v>2978527508.320941</v>
      </c>
      <c r="D9" s="18">
        <f>D8*(1-Assumptions!B8)</f>
        <v>3204017683.498333</v>
      </c>
      <c r="E9" s="18">
        <f>E8*(1-Assumptions!B8)</f>
        <v>3423370002.951037</v>
      </c>
      <c r="F9" s="18">
        <f>F8*(1-Assumptions!B8)</f>
        <v>3632941994.593262</v>
      </c>
      <c r="G9" s="18">
        <f>G8*(1-Assumptions!B8)</f>
        <v>3829027966.637526</v>
      </c>
      <c r="H9" s="18">
        <f>H8*(1-Assumptions!B8)</f>
        <v>4007961591.8371506</v>
      </c>
      <c r="I9" s="18">
        <f>I8*(1-Assumptions!B8)</f>
        <v>4166224832.188275</v>
      </c>
      <c r="J9" s="18">
        <f>J8*(1-Assumptions!B8)</f>
        <v>4300558950.0508</v>
      </c>
      <c r="K9" s="18">
        <f>K8*(1-Assumptions!B8)</f>
        <v>4408072923.802071</v>
      </c>
    </row>
    <row r="10" spans="1:11" x14ac:dyDescent="0.25">
      <c r="A10" t="s">
        <v>53</v>
      </c>
      <c r="B10" s="18">
        <f>B6*Assumptions!B9</f>
        <v>993808312.525412</v>
      </c>
      <c r="C10" s="18">
        <f>C6*Assumptions!B9</f>
        <v>1076243578.3764493</v>
      </c>
      <c r="D10" s="18">
        <f>D6*Assumptions!B9</f>
        <v>1157720869.5358162</v>
      </c>
      <c r="E10" s="18">
        <f>E6*Assumptions!B9</f>
        <v>1236980344.0759838</v>
      </c>
      <c r="F10" s="18">
        <f>F6*Assumptions!B9</f>
        <v>1312705852.5973587</v>
      </c>
      <c r="G10" s="18">
        <f>G6*Assumptions!B9</f>
        <v>1383558402.2658722</v>
      </c>
      <c r="H10" s="18">
        <f>H6*Assumptions!B9</f>
        <v>1448213223.9986665</v>
      </c>
      <c r="I10" s="18">
        <f>I6*Assumptions!B9</f>
        <v>1505399130.6740644</v>
      </c>
      <c r="J10" s="18">
        <f>J6*Assumptions!B9</f>
        <v>1553938629.2358582</v>
      </c>
      <c r="K10" s="18">
        <f>K6*Assumptions!B9</f>
        <v>1592787094.9667544</v>
      </c>
    </row>
    <row r="11" spans="1:11" x14ac:dyDescent="0.25">
      <c r="A11" t="s">
        <v>54</v>
      </c>
      <c r="B11" s="18">
        <f>-B6*B19</f>
        <v>-591305589.9784949</v>
      </c>
      <c r="C11" s="18">
        <f>-C6*C19</f>
        <v>-776570975.5899897</v>
      </c>
      <c r="D11" s="18">
        <f>-D6*D19</f>
        <v>-981891100.4123679</v>
      </c>
      <c r="E11" s="18">
        <f>-E6*E19</f>
        <v>-1205674262.334028</v>
      </c>
      <c r="F11" s="18">
        <f>-F6*F19</f>
        <v>-1445628930.8945904</v>
      </c>
      <c r="G11" s="18">
        <f>-G6*G19</f>
        <v>-1698769201.8775625</v>
      </c>
      <c r="H11" s="18">
        <f>-H6*H19</f>
        <v>-1961450544.703877</v>
      </c>
      <c r="I11" s="18">
        <f>-I6*I19</f>
        <v>-2229437091.7078714</v>
      </c>
      <c r="J11" s="18">
        <f>-J6*J19</f>
        <v>-2498000028.097645</v>
      </c>
      <c r="K11" s="18">
        <f>-K6*K19</f>
        <v>-2762044816.915604</v>
      </c>
    </row>
    <row r="12" spans="1:11" x14ac:dyDescent="0.25">
      <c r="A12" t="s">
        <v>55</v>
      </c>
      <c r="B12" s="18">
        <f>-(B6-Assumptions!B29)*Assumptions!B11</f>
        <v>-906478156.4071031</v>
      </c>
      <c r="C12" s="18">
        <f>-(C6-B6)*Assumptions!B11</f>
        <v>-449932200.77615494</v>
      </c>
      <c r="D12" s="18">
        <f>-(D6-C6)*Assumptions!B11</f>
        <v>-444703568.86890715</v>
      </c>
      <c r="E12" s="18">
        <f>-(E6-D6)*Assumptions!B11</f>
        <v>-432598711.7777993</v>
      </c>
      <c r="F12" s="18">
        <f>-(F6-E6)*Assumptions!B11</f>
        <v>-413310302.96528137</v>
      </c>
      <c r="G12" s="18">
        <f>-(G6-F6)*Assumptions!B11</f>
        <v>-386713662.82195204</v>
      </c>
      <c r="H12" s="18">
        <f>-(H6-G6)*Assumptions!B11</f>
        <v>-352886424.67160827</v>
      </c>
      <c r="I12" s="18">
        <f>-(I6-H6)*Assumptions!B11</f>
        <v>-312121039.1962095</v>
      </c>
      <c r="J12" s="18">
        <f>-(J6-I6)*Assumptions!B11</f>
        <v>-264928889.19583765</v>
      </c>
      <c r="K12" s="18">
        <f>-(K6-J6)*Assumptions!B11</f>
        <v>-212035170.90203297</v>
      </c>
    </row>
    <row r="13" spans="1:11" x14ac:dyDescent="0.25">
      <c r="A13" s="19" t="s">
        <v>56</v>
      </c>
      <c r="B13" s="20">
        <f>B9+B10+B11+B12</f>
        <v>2246410683.4910054</v>
      </c>
      <c r="C13" s="20">
        <f>C9+C10+C11+C12</f>
        <v>2828267910.331246</v>
      </c>
      <c r="D13" s="20">
        <f>D9+D10+D11+D12</f>
        <v>2935143883.7528744</v>
      </c>
      <c r="E13" s="20">
        <f>E9+E10+E11+E12</f>
        <v>3022077372.915193</v>
      </c>
      <c r="F13" s="20">
        <f>F9+F10+F11+F12</f>
        <v>3086708613.3307486</v>
      </c>
      <c r="G13" s="20">
        <f>G9+G10+G11+G12</f>
        <v>3127103504.203884</v>
      </c>
      <c r="H13" s="20">
        <f>H9+H10+H11+H12</f>
        <v>3141837846.460332</v>
      </c>
      <c r="I13" s="20">
        <f>I9+I10+I11+I12</f>
        <v>3130065831.958258</v>
      </c>
      <c r="J13" s="20">
        <f>J9+J10+J11+J12</f>
        <v>3091568661.993176</v>
      </c>
      <c r="K13" s="20">
        <f>K9+K10+K11+K12</f>
        <v>3026780030.9511886</v>
      </c>
    </row>
    <row r="14" spans="1:11" x14ac:dyDescent="0.25">
      <c r="A14" t="s">
        <v>57</v>
      </c>
      <c r="B14" s="21">
        <f>1/(1+Assumptions!$B$26)^(1-0.5*Assumptions!$B$32)</f>
        <v>0.9559646742159145</v>
      </c>
      <c r="C14" s="21">
        <f>1/(1+Assumptions!$B$26)^(2-0.5*Assumptions!$B$32)</f>
        <v>0.8736259630615527</v>
      </c>
      <c r="D14" s="21">
        <f>1/(1+Assumptions!$B$26)^(3-0.5*Assumptions!$B$32)</f>
        <v>0.798379212036494</v>
      </c>
      <c r="E14" s="21">
        <f>1/(1+Assumptions!$B$26)^(4-0.5*Assumptions!$B$32)</f>
        <v>0.7296135796814721</v>
      </c>
      <c r="F14" s="21">
        <f>1/(1+Assumptions!$B$26)^(5-0.5*Assumptions!$B$32)</f>
        <v>0.6667708372538121</v>
      </c>
      <c r="G14" s="21">
        <f>1/(1+Assumptions!$B$26)^(6-0.5*Assumptions!$B$32)</f>
        <v>0.6093408371130395</v>
      </c>
      <c r="H14" s="21">
        <f>1/(1+Assumptions!$B$26)^(7-0.5*Assumptions!$B$32)</f>
        <v>0.5568573714214238</v>
      </c>
      <c r="I14" s="21">
        <f>1/(1+Assumptions!$B$26)^(8-0.5*Assumptions!$B$32)</f>
        <v>0.508894387541028</v>
      </c>
      <c r="J14" s="21">
        <f>1/(1+Assumptions!$B$26)^(9-0.5*Assumptions!$B$32)</f>
        <v>0.46506252940444526</v>
      </c>
      <c r="K14" s="21">
        <f>1/(1+Assumptions!$B$26)^(10-0.5*Assumptions!$B$32)</f>
        <v>0.4250059767826057</v>
      </c>
    </row>
    <row r="15" spans="1:11" x14ac:dyDescent="0.25">
      <c r="A15" s="19" t="s">
        <v>58</v>
      </c>
      <c r="B15" s="20">
        <f>B13*B14</f>
        <v>2147489257.198629</v>
      </c>
      <c r="C15" s="20">
        <f>C13*C14</f>
        <v>2470848276.95922</v>
      </c>
      <c r="D15" s="20">
        <f>D13*D14</f>
        <v>2343357861.1243544</v>
      </c>
      <c r="E15" s="20">
        <f>E13*E14</f>
        <v>2204948690.127033</v>
      </c>
      <c r="F15" s="20">
        <f>F13*F14</f>
        <v>2058127286.4690967</v>
      </c>
      <c r="G15" s="20">
        <f>G13*G14</f>
        <v>1905471866.990714</v>
      </c>
      <c r="H15" s="20">
        <f>H13*H14</f>
        <v>1749555564.6122472</v>
      </c>
      <c r="I15" s="20">
        <f>I13*I14</f>
        <v>1592872934.517496</v>
      </c>
      <c r="J15" s="20">
        <f>J13*J14</f>
        <v>1437772741.7740629</v>
      </c>
      <c r="K15" s="20">
        <f>K13*K14</f>
        <v>1286399603.5604954</v>
      </c>
    </row>
    <row r="17" spans="1:2" x14ac:dyDescent="0.25">
      <c r="A17" s="22" t="s">
        <v>59</v>
      </c>
      <c r="B17" s="23">
        <f>SUM(B15:K15)</f>
        <v>19196844083.33335</v>
      </c>
    </row>
    <row r="19" spans="1:11" x14ac:dyDescent="0.25">
      <c r="A19" t="s">
        <v>7</v>
      </c>
      <c r="B19" s="9">
        <f>Assumptions!$B$10+($B$20-Assumptions!$B$10)*0/9</f>
        <v>0.02087168847737711</v>
      </c>
      <c r="C19" s="9">
        <f>Assumptions!$B$10+($B$20-Assumptions!$B$10)*1/9</f>
        <v>0.025311553794551418</v>
      </c>
      <c r="D19" s="9">
        <f>Assumptions!$B$10+($B$20-Assumptions!$B$10)*2/9</f>
        <v>0.02975141911172573</v>
      </c>
      <c r="E19" s="9">
        <f>Assumptions!$B$10+($B$20-Assumptions!$B$10)*3/9</f>
        <v>0.03419128442890004</v>
      </c>
      <c r="F19" s="9">
        <f>Assumptions!$B$10+($B$20-Assumptions!$B$10)*4/9</f>
        <v>0.03863114974607435</v>
      </c>
      <c r="G19" s="9">
        <f>Assumptions!$B$10+($B$20-Assumptions!$B$10)*5/9</f>
        <v>0.04307101506324867</v>
      </c>
      <c r="H19" s="9">
        <f>Assumptions!$B$10+($B$20-Assumptions!$B$10)*6/9</f>
        <v>0.047510880380422976</v>
      </c>
      <c r="I19" s="9">
        <f>Assumptions!$B$10+($B$20-Assumptions!$B$10)*7/9</f>
        <v>0.05195074569759729</v>
      </c>
      <c r="J19" s="9">
        <f>Assumptions!$B$10+($B$20-Assumptions!$B$10)*8/9</f>
        <v>0.056390611014771594</v>
      </c>
      <c r="K19" s="9">
        <f>Assumptions!$B$10+($B$20-Assumptions!$B$10)*9/9</f>
        <v>0.06083047633194591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0.06083047633194591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3026780030.9511886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4408072923.802071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0.2652537156622936</v>
      </c>
    </row>
    <row r="7" spans="1:2" x14ac:dyDescent="0.25">
      <c r="A7" t="s">
        <v>66</v>
      </c>
      <c r="B7" s="18">
        <f>-MAX(B5,0)*B6</f>
        <v>-1169257721.9488497</v>
      </c>
    </row>
    <row r="8" spans="1:2" x14ac:dyDescent="0.25">
      <c r="A8" t="s">
        <v>67</v>
      </c>
      <c r="B8" s="18">
        <f>IF(OR(Assumptions!$B$33=0,Assumptions!B12&lt;=0),B5,MAX(B5+B7,0))</f>
        <v>3238815201.853221</v>
      </c>
    </row>
    <row r="9" spans="1:2" x14ac:dyDescent="0.25">
      <c r="A9" t="s">
        <v>68</v>
      </c>
      <c r="B9" s="18">
        <f>B8*(1+Assumptions!B12)/(Assumptions!B26-Assumptions!B12)</f>
        <v>47939566599.90283</v>
      </c>
    </row>
    <row r="10" spans="1:2" x14ac:dyDescent="0.25">
      <c r="A10" t="s">
        <v>69</v>
      </c>
      <c r="B10" s="18">
        <f>B9/(1+Assumptions!B26)^(10-0.5*Assumptions!B32)</f>
        <v>20374602329.326485</v>
      </c>
    </row>
    <row r="11" spans="1:2" x14ac:dyDescent="0.25">
      <c r="A11" t="s">
        <v>70</v>
      </c>
      <c r="B11" s="18">
        <f>Forecast!B17+B10</f>
        <v>39571446412.659836</v>
      </c>
    </row>
    <row r="12" spans="1:2" x14ac:dyDescent="0.25">
      <c r="A12" t="s">
        <v>71</v>
      </c>
      <c r="B12" s="18">
        <f>-Assumptions!B30</f>
        <v>-9501000000</v>
      </c>
    </row>
    <row r="13" spans="1:2" x14ac:dyDescent="0.25">
      <c r="A13" t="s">
        <v>72</v>
      </c>
      <c r="B13" s="18">
        <f>B11+B12</f>
        <v>30070446412.659836</v>
      </c>
    </row>
    <row r="14" spans="1:2" x14ac:dyDescent="0.25">
      <c r="A14" s="19" t="s">
        <v>73</v>
      </c>
      <c r="B14" s="24">
        <f>B13/Assumptions!B31</f>
        <v>45.97224646485222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6483470176.971384</v>
      </c>
    </row>
    <row r="18" spans="1:2" x14ac:dyDescent="0.25">
      <c r="A18" t="s">
        <v>68</v>
      </c>
      <c r="B18" s="18">
        <f>B17*Assumptions!B13</f>
        <v>129669403539.42767</v>
      </c>
    </row>
    <row r="19" spans="1:2" x14ac:dyDescent="0.25">
      <c r="A19" t="s">
        <v>69</v>
      </c>
      <c r="B19" s="18">
        <f>B18/(1+Assumptions!B26)^(10-0.5*Assumptions!B32)</f>
        <v>55110271510.09233</v>
      </c>
    </row>
    <row r="20" spans="1:2" x14ac:dyDescent="0.25">
      <c r="A20" t="s">
        <v>70</v>
      </c>
      <c r="B20" s="18">
        <f>Forecast!B17+B19</f>
        <v>74307115593.42569</v>
      </c>
    </row>
    <row r="21" spans="1:2" x14ac:dyDescent="0.25">
      <c r="A21" t="s">
        <v>71</v>
      </c>
      <c r="B21" s="18">
        <f>-Assumptions!B30</f>
        <v>-9501000000</v>
      </c>
    </row>
    <row r="22" spans="1:2" x14ac:dyDescent="0.25">
      <c r="A22" t="s">
        <v>72</v>
      </c>
      <c r="B22" s="18">
        <f>B20+B21</f>
        <v>64806115593.42569</v>
      </c>
    </row>
    <row r="23" spans="1:2" x14ac:dyDescent="0.25">
      <c r="A23" s="19" t="s">
        <v>73</v>
      </c>
      <c r="B23" s="25">
        <f>B22/Assumptions!B31</f>
        <v>99.07677051433373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146.49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45.97224646485222</v>
      </c>
    </row>
    <row r="29" spans="1:2" x14ac:dyDescent="0.25">
      <c r="A29" s="19" t="s">
        <v>81</v>
      </c>
      <c r="B29" s="11">
        <f>B28/B26-1</f>
        <v>-0.6861748483524321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0.074249</v>
      </c>
      <c r="B5" s="31">
        <v>67.27812579728732</v>
      </c>
      <c r="C5" s="31">
        <v>67.13012968367968</v>
      </c>
      <c r="D5" s="31">
        <v>67.13430644560741</v>
      </c>
      <c r="E5" s="31">
        <v>67.34224127444278</v>
      </c>
      <c r="F5" s="31">
        <v>67.83180547910099</v>
      </c>
    </row>
    <row r="6" spans="1:6" x14ac:dyDescent="0.25">
      <c r="A6" s="30">
        <v>0.084249</v>
      </c>
      <c r="B6" s="31">
        <v>55.41505233473168</v>
      </c>
      <c r="C6" s="31">
        <v>54.62153868950647</v>
      </c>
      <c r="D6" s="31">
        <v>53.83729644305817</v>
      </c>
      <c r="E6" s="31">
        <v>53.064889163040654</v>
      </c>
      <c r="F6" s="31">
        <v>52.307921480948174</v>
      </c>
    </row>
    <row r="7" spans="1:6" x14ac:dyDescent="0.25">
      <c r="A7" s="30">
        <v>0.094249</v>
      </c>
      <c r="B7" s="31">
        <v>47.42878670284067</v>
      </c>
      <c r="C7" s="31">
        <v>46.700646912450736</v>
      </c>
      <c r="D7" s="32">
        <v>45.97250712206081</v>
      </c>
      <c r="E7" s="31">
        <v>45.2443673316709</v>
      </c>
      <c r="F7" s="31">
        <v>44.51622754128098</v>
      </c>
    </row>
    <row r="8" spans="1:6" x14ac:dyDescent="0.25">
      <c r="A8" s="30">
        <v>0.104249</v>
      </c>
      <c r="B8" s="31">
        <v>41.13608182628939</v>
      </c>
      <c r="C8" s="31">
        <v>40.51267030736647</v>
      </c>
      <c r="D8" s="31">
        <v>39.88925878844355</v>
      </c>
      <c r="E8" s="31">
        <v>39.26584726952062</v>
      </c>
      <c r="F8" s="31">
        <v>38.642435750597706</v>
      </c>
    </row>
    <row r="9" spans="1:6" x14ac:dyDescent="0.25">
      <c r="A9" s="30">
        <v>0.114249</v>
      </c>
      <c r="B9" s="31">
        <v>35.96997602423004</v>
      </c>
      <c r="C9" s="31">
        <v>35.43083060668011</v>
      </c>
      <c r="D9" s="31">
        <v>34.89168518913018</v>
      </c>
      <c r="E9" s="31">
        <v>34.35253977158022</v>
      </c>
      <c r="F9" s="31">
        <v>33.81339435403028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23596000000</v>
      </c>
      <c r="C5" s="18">
        <v>22952000000</v>
      </c>
      <c r="D5" s="18">
        <v>22331000000</v>
      </c>
      <c r="E5" s="18">
        <v>20637000000</v>
      </c>
      <c r="F5" s="6" t="s">
        <v>91</v>
      </c>
    </row>
    <row r="6" spans="1:6" x14ac:dyDescent="0.25">
      <c r="A6" t="s">
        <v>51</v>
      </c>
      <c r="B6" s="18">
        <v>2828000000</v>
      </c>
      <c r="C6" s="18">
        <v>2416000000</v>
      </c>
      <c r="D6" s="18">
        <v>2417000000</v>
      </c>
      <c r="E6" s="18">
        <v>2012000000</v>
      </c>
      <c r="F6" s="6" t="s">
        <v>92</v>
      </c>
    </row>
    <row r="7" spans="1:6" x14ac:dyDescent="0.25">
      <c r="A7" t="s">
        <v>93</v>
      </c>
      <c r="B7" s="18">
        <v>865000000</v>
      </c>
      <c r="C7" s="18">
        <v>816000000</v>
      </c>
      <c r="D7" s="18">
        <v>745000000</v>
      </c>
      <c r="E7" s="18">
        <v>717000000</v>
      </c>
      <c r="F7" s="6" t="s">
        <v>94</v>
      </c>
    </row>
    <row r="8" spans="1:6" x14ac:dyDescent="0.25">
      <c r="A8" t="s">
        <v>95</v>
      </c>
      <c r="B8" s="18">
        <v>434000000</v>
      </c>
      <c r="C8" s="18">
        <v>494000000</v>
      </c>
      <c r="D8" s="18">
        <v>446000000</v>
      </c>
      <c r="E8" s="18">
        <v>487000000</v>
      </c>
      <c r="F8" s="6" t="s">
        <v>96</v>
      </c>
    </row>
    <row r="9" spans="1:6" x14ac:dyDescent="0.25">
      <c r="A9" t="s">
        <v>97</v>
      </c>
      <c r="B9" s="18">
        <v>728000000</v>
      </c>
      <c r="C9" s="18">
        <v>657000000</v>
      </c>
      <c r="D9" s="18">
        <v>692000000</v>
      </c>
      <c r="E9" s="18">
        <v>890000000</v>
      </c>
      <c r="F9" s="6" t="s">
        <v>98</v>
      </c>
    </row>
    <row r="10" spans="1:6" x14ac:dyDescent="0.25">
      <c r="A10" t="s">
        <v>99</v>
      </c>
      <c r="B10" s="18">
        <v>9880000000</v>
      </c>
      <c r="C10" s="18">
        <v>9493000000</v>
      </c>
      <c r="D10" s="18">
        <v>8824000000</v>
      </c>
      <c r="E10" s="18">
        <v>8960000000</v>
      </c>
      <c r="F10" s="6" t="s">
        <v>100</v>
      </c>
    </row>
    <row r="11" spans="1:6" x14ac:dyDescent="0.25">
      <c r="A11" t="s">
        <v>101</v>
      </c>
      <c r="B11" s="18">
        <v>379000000</v>
      </c>
      <c r="C11" s="18">
        <v>606000000</v>
      </c>
      <c r="D11" s="18">
        <v>828000000</v>
      </c>
      <c r="E11" s="18">
        <v>2031000000</v>
      </c>
      <c r="F11" s="6" t="s">
        <v>102</v>
      </c>
    </row>
    <row r="12" spans="1:6" x14ac:dyDescent="0.25">
      <c r="A12" t="s">
        <v>34</v>
      </c>
      <c r="B12" s="34">
        <v>654100000</v>
      </c>
      <c r="C12" s="34">
        <v>676000000</v>
      </c>
      <c r="D12" s="34">
        <v>687400000</v>
      </c>
      <c r="E12" s="34">
        <v>699600000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