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<sst xmlns="http://schemas.openxmlformats.org/spreadsheetml/2006/main" count="112" uniqueCount="100">
  <si>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Johnson Controls International plc (JCI)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</si>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</sst>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0.04567632285300438</v>
      </c>
    </row>
    <row r="7" spans="1:2" x14ac:dyDescent="0.25">
      <c r="A7" t="s">
        <v>5</v>
      </c>
      <c r="B7" s="6">
        <v>0.10771098993214537</v>
      </c>
    </row>
    <row r="8" spans="1:2" x14ac:dyDescent="0.25">
      <c r="A8" t="s">
        <v>6</v>
      </c>
      <c r="B8" s="6">
        <v>0.09867949938901863</v>
      </c>
    </row>
    <row r="9" spans="1:2" x14ac:dyDescent="0.25">
      <c r="A9" t="s">
        <v>7</v>
      </c>
      <c r="B9" s="6">
        <v>0.035079082384478405</v>
      </c>
    </row>
    <row r="10" spans="1:2" x14ac:dyDescent="0.25">
      <c r="A10" t="s">
        <v>8</v>
      </c>
      <c r="B10" s="6">
        <v>0.02087168847737711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0.1089122720873342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1.20368</v>
      </c>
      <c r="C19" s="8" t="s">
        <v>19</v>
      </c>
    </row>
    <row r="20" spans="1:2" x14ac:dyDescent="0.25">
      <c r="A20" t="s">
        <v>20</v>
      </c>
      <c r="B20" s="10">
        <f>B17+B19*B18</f>
        <v>0.11618240000000002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86790635520</v>
      </c>
    </row>
    <row r="23" spans="1:2" x14ac:dyDescent="0.25">
      <c r="A23" t="s">
        <v>24</v>
      </c>
      <c r="B23" s="11">
        <v>9880000000</v>
      </c>
    </row>
    <row r="24" spans="1:2" x14ac:dyDescent="0.25">
      <c r="A24" t="s">
        <v>25</v>
      </c>
      <c r="B24" s="10">
        <f>B22/(B22+B23)</f>
        <v>0.8977972995951191</v>
      </c>
    </row>
    <row r="25" spans="1:2" x14ac:dyDescent="0.25">
      <c r="A25" t="s">
        <v>26</v>
      </c>
      <c r="B25" s="10">
        <f>1-B24</f>
        <v>0.10220270040488089</v>
      </c>
    </row>
    <row r="26" spans="1:2" x14ac:dyDescent="0.25">
      <c r="A26" t="s">
        <v>27</v>
      </c>
      <c r="B26" s="12">
        <f>B24*B20+B25*B21*(1-B8)</f>
        <v>0.1089122720873342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23596000000</v>
      </c>
      <c r="C29" s="8" t="s">
        <v>30</v>
      </c>
    </row>
    <row r="30" spans="1:2" x14ac:dyDescent="0.25">
      <c r="A30" t="s">
        <v>31</v>
      </c>
      <c r="B30" s="11">
        <v>9501000000</v>
      </c>
    </row>
    <row r="31" spans="1:2" x14ac:dyDescent="0.25">
      <c r="A31" t="s">
        <v>32</v>
      </c>
      <c r="B31" s="13">
        <v>654100000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0.04567632285300438</v>
      </c>
      <c r="C5" s="10">
        <f>Assumptions!B6</f>
        <v>0.04567632285300438</v>
      </c>
      <c r="D5" s="10">
        <f>Assumptions!B6</f>
        <v>0.04567632285300438</v>
      </c>
      <c r="E5" s="10">
        <f>Assumptions!B6</f>
        <v>0.04567632285300438</v>
      </c>
      <c r="F5" s="10">
        <f>Assumptions!B6</f>
        <v>0.04567632285300438</v>
      </c>
    </row>
    <row r="6" spans="1:6" x14ac:dyDescent="0.25">
      <c r="A6" t="s">
        <v>43</v>
      </c>
      <c r="B6" s="18">
        <f>Assumptions!B29*(1+B5)</f>
        <v>24673778514.03949</v>
      </c>
      <c r="C6" s="18">
        <f>B6*(1+C5)</f>
        <v>25800785987.45028</v>
      </c>
      <c r="D6" s="18">
        <f>C6*(1+D5)</f>
        <v>26979271018.07433</v>
      </c>
      <c r="E6" s="18">
        <f>D6*(1+E5)</f>
        <v>28211584911.434597</v>
      </c>
      <c r="F6" s="18">
        <f>E6*(1+F5)</f>
        <v>29500186372.04423</v>
      </c>
    </row>
    <row r="7" spans="1:6" x14ac:dyDescent="0.25">
      <c r="A7" t="s">
        <v>5</v>
      </c>
      <c r="B7" s="10">
        <f>Assumptions!B7</f>
        <v>0.10771098993214537</v>
      </c>
      <c r="C7" s="10">
        <f>Assumptions!B7</f>
        <v>0.10771098993214537</v>
      </c>
      <c r="D7" s="10">
        <f>Assumptions!B7</f>
        <v>0.10771098993214537</v>
      </c>
      <c r="E7" s="10">
        <f>Assumptions!B7</f>
        <v>0.10771098993214537</v>
      </c>
      <c r="F7" s="10">
        <f>Assumptions!B7</f>
        <v>0.10771098993214537</v>
      </c>
    </row>
    <row r="8" spans="1:6" x14ac:dyDescent="0.25">
      <c r="A8" t="s">
        <v>44</v>
      </c>
      <c r="B8" s="18">
        <f>B6*B7</f>
        <v>2657637109.1136923</v>
      </c>
      <c r="C8" s="18">
        <f>C6*C7</f>
        <v>2779028199.7356944</v>
      </c>
      <c r="D8" s="18">
        <f>D6*D7</f>
        <v>2905963989.0044255</v>
      </c>
      <c r="E8" s="18">
        <f>E6*E7</f>
        <v>3038697738.365396</v>
      </c>
      <c r="F8" s="18">
        <f>F6*F7</f>
        <v>3177494277.315668</v>
      </c>
    </row>
    <row r="9" spans="1:6" x14ac:dyDescent="0.25">
      <c r="A9" t="s">
        <v>45</v>
      </c>
      <c r="B9" s="18">
        <f>B8*(1-Assumptions!B8)</f>
        <v>2395382809.6286745</v>
      </c>
      <c r="C9" s="18">
        <f>C8*(1-Assumptions!B8)</f>
        <v>2504795088.19781</v>
      </c>
      <c r="D9" s="18">
        <f>D8*(1-Assumptions!B8)</f>
        <v>2619204917.326953</v>
      </c>
      <c r="E9" s="18">
        <f>E8*(1-Assumptions!B8)</f>
        <v>2738840566.7489557</v>
      </c>
      <c r="F9" s="18">
        <f>F8*(1-Assumptions!B8)</f>
        <v>2863940732.7186866</v>
      </c>
    </row>
    <row r="10" spans="1:6" x14ac:dyDescent="0.25">
      <c r="A10" t="s">
        <v>46</v>
      </c>
      <c r="B10" s="18">
        <f>B6*Assumptions!B9</f>
        <v>865533509.2303644</v>
      </c>
      <c r="C10" s="18">
        <f>C6*Assumptions!B9</f>
        <v>905067897.2380644</v>
      </c>
      <c r="D10" s="18">
        <f>D6*Assumptions!B9</f>
        <v>946408070.7162</v>
      </c>
      <c r="E10" s="18">
        <f>E6*Assumptions!B9</f>
        <v>989636511.3049221</v>
      </c>
      <c r="F10" s="18">
        <f>F6*Assumptions!B9</f>
        <v>1034839468.1024067</v>
      </c>
    </row>
    <row r="11" spans="1:6" x14ac:dyDescent="0.25">
      <c r="A11" t="s">
        <v>47</v>
      </c>
      <c r="B11" s="18">
        <f>-B6*Assumptions!B10</f>
        <v>-514983418.7048329</v>
      </c>
      <c r="C11" s="18">
        <f>-C6*Assumptions!B10</f>
        <v>-538505967.6015388</v>
      </c>
      <c r="D11" s="18">
        <f>-D6*Assumptions!B10</f>
        <v>-563102940.0359762</v>
      </c>
      <c r="E11" s="18">
        <f>-E6*Assumptions!B10</f>
        <v>-588823411.7245353</v>
      </c>
      <c r="F11" s="18">
        <f>-F6*Assumptions!B10</f>
        <v>-615718699.9818728</v>
      </c>
    </row>
    <row r="12" spans="1:6" x14ac:dyDescent="0.25">
      <c r="A12" t="s">
        <v>48</v>
      </c>
      <c r="B12" s="18">
        <f>-(B6-Assumptions!B29)*Assumptions!B11</f>
        <v>-1077778514.0394897</v>
      </c>
      <c r="C12" s="18">
        <f>-(C6-B6)*Assumptions!B11</f>
        <v>-1127007473.4107895</v>
      </c>
      <c r="D12" s="18">
        <f>-(D6-C6)*Assumptions!B11</f>
        <v>-1178485030.6240501</v>
      </c>
      <c r="E12" s="18">
        <f>-(E6-D6)*Assumptions!B11</f>
        <v>-1232313893.3602676</v>
      </c>
      <c r="F12" s="18">
        <f>-(F6-E6)*Assumptions!B11</f>
        <v>-1288601460.6096344</v>
      </c>
    </row>
    <row r="13" spans="1:6" x14ac:dyDescent="0.25">
      <c r="A13" s="19" t="s">
        <v>49</v>
      </c>
      <c r="B13" s="20">
        <f>B9+B10+B11+B12</f>
        <v>1668154386.114716</v>
      </c>
      <c r="C13" s="20">
        <f>C9+C10+C11+C12</f>
        <v>1744349544.4235463</v>
      </c>
      <c r="D13" s="20">
        <f>D9+D10+D11+D12</f>
        <v>1824025017.3831263</v>
      </c>
      <c r="E13" s="20">
        <f>E9+E10+E11+E12</f>
        <v>1907339772.9690747</v>
      </c>
      <c r="F13" s="20">
        <f>F9+F10+F11+F12</f>
        <v>1994460040.2295866</v>
      </c>
    </row>
    <row r="14" spans="1:6" x14ac:dyDescent="0.25">
      <c r="A14" t="s">
        <v>50</v>
      </c>
      <c r="B14" s="21">
        <f>1/(1+Assumptions!$B$26)^(1-0.5*Assumptions!$B$32)</f>
        <v>0.9496233944228752</v>
      </c>
      <c r="C14" s="21">
        <f>1/(1+Assumptions!$B$26)^(2-0.5*Assumptions!$B$32)</f>
        <v>0.8563557445670384</v>
      </c>
      <c r="D14" s="21">
        <f>1/(1+Assumptions!$B$26)^(3-0.5*Assumptions!$B$32)</f>
        <v>0.7722484150663226</v>
      </c>
      <c r="E14" s="21">
        <f>1/(1+Assumptions!$B$26)^(4-0.5*Assumptions!$B$32)</f>
        <v>0.6964017213126332</v>
      </c>
      <c r="F14" s="21">
        <f>1/(1+Assumptions!$B$26)^(5-0.5*Assumptions!$B$32)</f>
        <v>0.6280043415894193</v>
      </c>
    </row>
    <row r="15" spans="1:6" x14ac:dyDescent="0.25">
      <c r="A15" s="19" t="s">
        <v>51</v>
      </c>
      <c r="B15" s="20">
        <f>B13*B14</f>
        <v>1584118430.5636644</v>
      </c>
      <c r="C15" s="20">
        <f>C13*C14</f>
        <v>1493783752.9000003</v>
      </c>
      <c r="D15" s="20">
        <f>D13*D14</f>
        <v>1408600428.7154408</v>
      </c>
      <c r="E15" s="20">
        <f>E13*E14</f>
        <v>1328274701.0237107</v>
      </c>
      <c r="F15" s="20">
        <f>F13*F14</f>
        <v>1252529564.3907883</v>
      </c>
    </row>
    <row r="17" spans="1:2" x14ac:dyDescent="0.25">
      <c r="A17" s="22" t="s">
        <v>52</v>
      </c>
      <c r="B17" s="23">
        <f>SUM(B15:F15)</f>
        <v>7067306877.593604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1994460040.2295866</v>
      </c>
    </row>
    <row r="5" spans="1:2" x14ac:dyDescent="0.25">
      <c r="A5" t="s">
        <v>56</v>
      </c>
      <c r="B5" s="18">
        <f>IF(Assumptions!$B$33=0,B4,B4-Forecast!F11-Forecast!F10-Forecast!F12)</f>
        <v>2863940732.7186866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0.22954254392887044</v>
      </c>
    </row>
    <row r="7" spans="1:2" x14ac:dyDescent="0.25">
      <c r="A7" t="s">
        <v>58</v>
      </c>
      <c r="B7" s="18">
        <f>-MAX(Forecast!F9,0)*B6</f>
        <v>-657396241.4497606</v>
      </c>
    </row>
    <row r="8" spans="1:2" x14ac:dyDescent="0.25">
      <c r="A8" t="s">
        <v>59</v>
      </c>
      <c r="B8" s="18">
        <f>IF(OR(Assumptions!$B$33=0,Assumptions!B12&lt;=0),B5,MAX(B5+B7,0))</f>
        <v>2206544491.268926</v>
      </c>
    </row>
    <row r="9" spans="1:2" x14ac:dyDescent="0.25">
      <c r="A9" t="s">
        <v>60</v>
      </c>
      <c r="B9" s="18">
        <f>B8*(1+Assumptions!B12)/(Assumptions!B26-Assumptions!B12)</f>
        <v>26953245899.440178</v>
      </c>
    </row>
    <row r="10" spans="1:2" x14ac:dyDescent="0.25">
      <c r="A10" t="s">
        <v>61</v>
      </c>
      <c r="B10" s="18">
        <f>B9/(1+Assumptions!B26)^(5-0.5*Assumptions!B32)</f>
        <v>16926755444.775644</v>
      </c>
    </row>
    <row r="11" spans="1:2" x14ac:dyDescent="0.25">
      <c r="A11" t="s">
        <v>62</v>
      </c>
      <c r="B11" s="18">
        <f>Forecast!B17+B10</f>
        <v>23994062322.369247</v>
      </c>
    </row>
    <row r="12" spans="1:2" x14ac:dyDescent="0.25">
      <c r="A12" t="s">
        <v>63</v>
      </c>
      <c r="B12" s="18">
        <f>-Assumptions!B30</f>
        <v>-9501000000</v>
      </c>
    </row>
    <row r="13" spans="1:2" x14ac:dyDescent="0.25">
      <c r="A13" t="s">
        <v>64</v>
      </c>
      <c r="B13" s="18">
        <f>B11+B12</f>
        <v>14493062322.369247</v>
      </c>
    </row>
    <row r="14" spans="1:2" x14ac:dyDescent="0.25">
      <c r="A14" s="19" t="s">
        <v>65</v>
      </c>
      <c r="B14" s="24">
        <f>B13/Assumptions!B31</f>
        <v>22.157257792950997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4212333745.4180746</v>
      </c>
    </row>
    <row r="18" spans="1:2" x14ac:dyDescent="0.25">
      <c r="A18" t="s">
        <v>60</v>
      </c>
      <c r="B18" s="18">
        <f>B17*Assumptions!B13</f>
        <v>84246674908.3615</v>
      </c>
    </row>
    <row r="19" spans="1:2" x14ac:dyDescent="0.25">
      <c r="A19" t="s">
        <v>61</v>
      </c>
      <c r="B19" s="18">
        <f>B18/(1+Assumptions!B26)^(5-0.5*Assumptions!B32)</f>
        <v>52907277606.923416</v>
      </c>
    </row>
    <row r="20" spans="1:2" x14ac:dyDescent="0.25">
      <c r="A20" t="s">
        <v>62</v>
      </c>
      <c r="B20" s="18">
        <f>Forecast!B17+B19</f>
        <v>59974584484.51702</v>
      </c>
    </row>
    <row r="21" spans="1:2" x14ac:dyDescent="0.25">
      <c r="A21" t="s">
        <v>63</v>
      </c>
      <c r="B21" s="18">
        <f>-Assumptions!B30</f>
        <v>-9501000000</v>
      </c>
    </row>
    <row r="22" spans="1:2" x14ac:dyDescent="0.25">
      <c r="A22" t="s">
        <v>64</v>
      </c>
      <c r="B22" s="18">
        <f>B20+B21</f>
        <v>50473584484.51702</v>
      </c>
    </row>
    <row r="23" spans="1:2" x14ac:dyDescent="0.25">
      <c r="A23" s="19" t="s">
        <v>65</v>
      </c>
      <c r="B23" s="25">
        <f>B22/Assumptions!B31</f>
        <v>77.16493576596395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143.28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22.157257792950997</v>
      </c>
    </row>
    <row r="29" spans="1:2" x14ac:dyDescent="0.25">
      <c r="A29" s="19" t="s">
        <v>73</v>
      </c>
      <c r="B29" s="12">
        <f>B28/B26-1</f>
        <v>-0.8453569389101689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0.088912</v>
      </c>
      <c r="B5" s="31">
        <v>30.83081882577816</v>
      </c>
      <c r="C5" s="31">
        <v>30.998645881201945</v>
      </c>
      <c r="D5" s="31">
        <v>31.166472936625716</v>
      </c>
      <c r="E5" s="31">
        <v>31.33429999204949</v>
      </c>
      <c r="F5" s="31">
        <v>31.50212704747327</v>
      </c>
    </row>
    <row r="6" spans="1:6" x14ac:dyDescent="0.25">
      <c r="A6" s="30">
        <v>0.098912</v>
      </c>
      <c r="B6" s="31">
        <v>25.906270329562457</v>
      </c>
      <c r="C6" s="31">
        <v>26.051050064357376</v>
      </c>
      <c r="D6" s="31">
        <v>26.19582979915229</v>
      </c>
      <c r="E6" s="31">
        <v>26.34060953394721</v>
      </c>
      <c r="F6" s="31">
        <v>26.485389268742118</v>
      </c>
    </row>
    <row r="7" spans="1:6" x14ac:dyDescent="0.25">
      <c r="A7" s="30">
        <v>0.108912</v>
      </c>
      <c r="B7" s="31">
        <v>21.904888791147076</v>
      </c>
      <c r="C7" s="31">
        <v>22.031123061444127</v>
      </c>
      <c r="D7" s="32">
        <v>22.157357331741174</v>
      </c>
      <c r="E7" s="31">
        <v>22.283591602038225</v>
      </c>
      <c r="F7" s="31">
        <v>22.40982587233528</v>
      </c>
    </row>
    <row r="8" spans="1:6" x14ac:dyDescent="0.25">
      <c r="A8" s="30">
        <v>0.118912</v>
      </c>
      <c r="B8" s="31">
        <v>18.592791924546077</v>
      </c>
      <c r="C8" s="31">
        <v>18.70383270507718</v>
      </c>
      <c r="D8" s="31">
        <v>18.81487348560826</v>
      </c>
      <c r="E8" s="31">
        <v>18.92591426613935</v>
      </c>
      <c r="F8" s="31">
        <v>19.036955046670432</v>
      </c>
    </row>
    <row r="9" spans="1:6" x14ac:dyDescent="0.25">
      <c r="A9" s="30">
        <v>0.128912</v>
      </c>
      <c r="B9" s="31">
        <v>15.808726871434637</v>
      </c>
      <c r="C9" s="31">
        <v>15.907133903215517</v>
      </c>
      <c r="D9" s="31">
        <v>16.005540934996382</v>
      </c>
      <c r="E9" s="31">
        <v>16.103947966777262</v>
      </c>
      <c r="F9" s="31">
        <v>16.202354998558143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23596000000</v>
      </c>
      <c r="C5" s="18">
        <v>22952000000</v>
      </c>
      <c r="D5" s="18">
        <v>22331000000</v>
      </c>
      <c r="E5" s="18">
        <v>20637000000</v>
      </c>
      <c r="F5" s="8" t="s">
        <v>84</v>
      </c>
    </row>
    <row r="6" spans="1:6" x14ac:dyDescent="0.25">
      <c r="A6" t="s">
        <v>44</v>
      </c>
      <c r="B6" s="18">
        <v>2828000000</v>
      </c>
      <c r="C6" s="18">
        <v>2416000000</v>
      </c>
      <c r="D6" s="18">
        <v>2417000000</v>
      </c>
      <c r="E6" s="18">
        <v>2012000000</v>
      </c>
      <c r="F6" s="8" t="s">
        <v>85</v>
      </c>
    </row>
    <row r="7" spans="1:6" x14ac:dyDescent="0.25">
      <c r="A7" t="s">
        <v>86</v>
      </c>
      <c r="B7" s="18">
        <v>865000000</v>
      </c>
      <c r="C7" s="18">
        <v>816000000</v>
      </c>
      <c r="D7" s="18">
        <v>745000000</v>
      </c>
      <c r="E7" s="18">
        <v>717000000</v>
      </c>
      <c r="F7" s="8" t="s">
        <v>87</v>
      </c>
    </row>
    <row r="8" spans="1:6" x14ac:dyDescent="0.25">
      <c r="A8" t="s">
        <v>88</v>
      </c>
      <c r="B8" s="18">
        <v>434000000</v>
      </c>
      <c r="C8" s="18">
        <v>494000000</v>
      </c>
      <c r="D8" s="18">
        <v>446000000</v>
      </c>
      <c r="E8" s="18">
        <v>487000000</v>
      </c>
      <c r="F8" s="8" t="s">
        <v>89</v>
      </c>
    </row>
    <row r="9" spans="1:6" x14ac:dyDescent="0.25">
      <c r="A9" t="s">
        <v>90</v>
      </c>
      <c r="B9" s="18">
        <v>728000000</v>
      </c>
      <c r="C9" s="18">
        <v>657000000</v>
      </c>
      <c r="D9" s="18">
        <v>692000000</v>
      </c>
      <c r="E9" s="18">
        <v>890000000</v>
      </c>
      <c r="F9" s="8" t="s">
        <v>91</v>
      </c>
    </row>
    <row r="10" spans="1:6" x14ac:dyDescent="0.25">
      <c r="A10" t="s">
        <v>92</v>
      </c>
      <c r="B10" s="18">
        <v>9880000000</v>
      </c>
      <c r="C10" s="18">
        <v>9493000000</v>
      </c>
      <c r="D10" s="18">
        <v>8824000000</v>
      </c>
      <c r="E10" s="18">
        <v>8960000000</v>
      </c>
      <c r="F10" s="8" t="s">
        <v>93</v>
      </c>
    </row>
    <row r="11" spans="1:6" x14ac:dyDescent="0.25">
      <c r="A11" t="s">
        <v>94</v>
      </c>
      <c r="B11" s="18">
        <v>379000000</v>
      </c>
      <c r="C11" s="18">
        <v>606000000</v>
      </c>
      <c r="D11" s="18">
        <v>828000000</v>
      </c>
      <c r="E11" s="18">
        <v>2031000000</v>
      </c>
      <c r="F11" s="8" t="s">
        <v>95</v>
      </c>
    </row>
    <row r="12" spans="1:6" x14ac:dyDescent="0.25">
      <c r="A12" t="s">
        <v>32</v>
      </c>
      <c r="B12" s="34">
        <v>654100000</v>
      </c>
      <c r="C12" s="34">
        <v>676000000</v>
      </c>
      <c r="D12" s="34">
        <v>687400000</v>
      </c>
      <c r="E12" s="34">
        <v>699600000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