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<sst xmlns="http://schemas.openxmlformats.org/spreadsheetml/2006/main" count="112" uniqueCount="100">
  <si>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JD Sports Fashion Plc (JD.L)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</si>
  <si>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</si>
  <si>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</si>
  <si>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</si>
  <si>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</si>
  <si>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</si>
  <si>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</si>
  <si>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</si>
  <si>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</si>
  <si>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</si>
  <si>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</si>
  <si>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</si>
  <si>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</si>
  <si>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</si>
  <si>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</si>
  <si>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</si>
  <si>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</si>
  <si>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</si>
  <si>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</si>
  <si>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</si>
  <si>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</si>
  <si>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</si>
  <si>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</si>
  <si>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</si>
  <si>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</si>
  <si>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</si>
  <si>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</si>
  <si>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</si>
  <si>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</si>
  <si>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</si>
  <si>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2026-01-31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</si>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</sst>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0.07738045446645492</v>
      </c>
    </row>
    <row r="7" spans="1:2" x14ac:dyDescent="0.25">
      <c r="A7" t="s">
        <v>5</v>
      </c>
      <c r="B7" s="6">
        <v>0.08952153266810761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0.06760351166711412</v>
      </c>
    </row>
    <row r="10" spans="1:2" x14ac:dyDescent="0.25">
      <c r="A10" t="s">
        <v>8</v>
      </c>
      <c r="B10" s="6">
        <v>0.040278409223989495</v>
      </c>
    </row>
    <row r="11" spans="1:2" x14ac:dyDescent="0.25">
      <c r="A11" t="s">
        <v>9</v>
      </c>
      <c r="B11" s="6">
        <v>0.2059800664451827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3.2707766459627328</v>
      </c>
    </row>
    <row r="14" spans="1:3" x14ac:dyDescent="0.25">
      <c r="A14" t="s">
        <v>12</v>
      </c>
      <c r="B14" s="6">
        <v>0.24345907930627964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1.3939599999999999</v>
      </c>
      <c r="C19" s="8" t="s">
        <v>19</v>
      </c>
    </row>
    <row r="20" spans="1:2" x14ac:dyDescent="0.25">
      <c r="A20" t="s">
        <v>20</v>
      </c>
      <c r="B20" s="10">
        <f>B17+B19*B18</f>
        <v>0.12166779999999999</v>
      </c>
    </row>
    <row r="21" spans="1:3" x14ac:dyDescent="0.25">
      <c r="A21" t="s">
        <v>21</v>
      </c>
      <c r="B21" s="6">
        <v>0.05203558910757616</v>
      </c>
      <c r="C21" s="8" t="s">
        <v>22</v>
      </c>
    </row>
    <row r="22" spans="1:2" x14ac:dyDescent="0.25">
      <c r="A22" t="s">
        <v>23</v>
      </c>
      <c r="B22" s="11">
        <v>3493140480</v>
      </c>
    </row>
    <row r="23" spans="1:2" x14ac:dyDescent="0.25">
      <c r="A23" t="s">
        <v>24</v>
      </c>
      <c r="B23" s="11">
        <v>3680000000</v>
      </c>
    </row>
    <row r="24" spans="1:2" x14ac:dyDescent="0.25">
      <c r="A24" t="s">
        <v>25</v>
      </c>
      <c r="B24" s="10">
        <f>B22/(B22+B23)</f>
        <v>0.4869750550319628</v>
      </c>
    </row>
    <row r="25" spans="1:2" x14ac:dyDescent="0.25">
      <c r="A25" t="s">
        <v>26</v>
      </c>
      <c r="B25" s="10">
        <f>1-B24</f>
        <v>0.5130249449680372</v>
      </c>
    </row>
    <row r="26" spans="1:2" x14ac:dyDescent="0.25">
      <c r="A26" t="s">
        <v>27</v>
      </c>
      <c r="B26" s="12">
        <f>B24*B20+B25*B21*(1-B8)</f>
        <v>0.07927085002933809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12662000000</v>
      </c>
      <c r="C29" s="8" t="s">
        <v>30</v>
      </c>
    </row>
    <row r="30" spans="1:2" x14ac:dyDescent="0.25">
      <c r="A30" t="s">
        <v>31</v>
      </c>
      <c r="B30" s="11">
        <v>2826000000</v>
      </c>
    </row>
    <row r="31" spans="1:2" x14ac:dyDescent="0.25">
      <c r="A31" t="s">
        <v>32</v>
      </c>
      <c r="B31" s="13">
        <v>5112000000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0.07738045446645492</v>
      </c>
      <c r="C5" s="10">
        <f>Assumptions!B6</f>
        <v>0.07738045446645492</v>
      </c>
      <c r="D5" s="10">
        <f>Assumptions!B6</f>
        <v>0.07738045446645492</v>
      </c>
      <c r="E5" s="10">
        <f>Assumptions!B6</f>
        <v>0.07738045446645492</v>
      </c>
      <c r="F5" s="10">
        <f>Assumptions!B6</f>
        <v>0.07738045446645492</v>
      </c>
    </row>
    <row r="6" spans="1:6" x14ac:dyDescent="0.25">
      <c r="A6" t="s">
        <v>43</v>
      </c>
      <c r="B6" s="18">
        <f>Assumptions!B29*(1+B5)</f>
        <v>13641791314.454252</v>
      </c>
      <c r="C6" s="18">
        <f>B6*(1+C5)</f>
        <v>14697399326.10326</v>
      </c>
      <c r="D6" s="18">
        <f>C6*(1+D5)</f>
        <v>15834690765.432098</v>
      </c>
      <c r="E6" s="18">
        <f>D6*(1+E5)</f>
        <v>17059986333.197012</v>
      </c>
      <c r="F6" s="18">
        <f>E6*(1+F5)</f>
        <v>18380095828.851307</v>
      </c>
    </row>
    <row r="7" spans="1:6" x14ac:dyDescent="0.25">
      <c r="A7" t="s">
        <v>5</v>
      </c>
      <c r="B7" s="10">
        <f>Assumptions!B7</f>
        <v>0.08952153266810761</v>
      </c>
      <c r="C7" s="10">
        <f>Assumptions!B7</f>
        <v>0.08952153266810761</v>
      </c>
      <c r="D7" s="10">
        <f>Assumptions!B7</f>
        <v>0.08952153266810761</v>
      </c>
      <c r="E7" s="10">
        <f>Assumptions!B7</f>
        <v>0.08952153266810761</v>
      </c>
      <c r="F7" s="10">
        <f>Assumptions!B7</f>
        <v>0.08952153266810761</v>
      </c>
    </row>
    <row r="8" spans="1:6" x14ac:dyDescent="0.25">
      <c r="A8" t="s">
        <v>44</v>
      </c>
      <c r="B8" s="18">
        <f>B6*B7</f>
        <v>1221234066.808423</v>
      </c>
      <c r="C8" s="18">
        <f>C6*C7</f>
        <v>1315733713.9079757</v>
      </c>
      <c r="D8" s="18">
        <f>D6*D7</f>
        <v>1417545786.6470115</v>
      </c>
      <c r="E8" s="18">
        <f>E6*E7</f>
        <v>1527236123.8447657</v>
      </c>
      <c r="F8" s="18">
        <f>F6*F7</f>
        <v>1645414349.1854608</v>
      </c>
    </row>
    <row r="9" spans="1:6" x14ac:dyDescent="0.25">
      <c r="A9" t="s">
        <v>45</v>
      </c>
      <c r="B9" s="18">
        <f>B8*(1-Assumptions!B8)</f>
        <v>915925550.1063173</v>
      </c>
      <c r="C9" s="18">
        <f>C8*(1-Assumptions!B8)</f>
        <v>986800285.4309818</v>
      </c>
      <c r="D9" s="18">
        <f>D8*(1-Assumptions!B8)</f>
        <v>1063159339.9852586</v>
      </c>
      <c r="E9" s="18">
        <f>E8*(1-Assumptions!B8)</f>
        <v>1145427092.8835742</v>
      </c>
      <c r="F9" s="18">
        <f>F8*(1-Assumptions!B8)</f>
        <v>1234060761.8890955</v>
      </c>
    </row>
    <row r="10" spans="1:6" x14ac:dyDescent="0.25">
      <c r="A10" t="s">
        <v>46</v>
      </c>
      <c r="B10" s="18">
        <f>B6*Assumptions!B9</f>
        <v>922232998.287044</v>
      </c>
      <c r="C10" s="18">
        <f>C6*Assumptions!B9</f>
        <v>993595806.8184569</v>
      </c>
      <c r="D10" s="18">
        <f>D6*Assumptions!B9</f>
        <v>1070480701.906033</v>
      </c>
      <c r="E10" s="18">
        <f>E6*Assumptions!B9</f>
        <v>1153314985.1170917</v>
      </c>
      <c r="F10" s="18">
        <f>F6*Assumptions!B9</f>
        <v>1242559022.808425</v>
      </c>
    </row>
    <row r="11" spans="1:6" x14ac:dyDescent="0.25">
      <c r="A11" t="s">
        <v>47</v>
      </c>
      <c r="B11" s="18">
        <f>-B6*Assumptions!B10</f>
        <v>-549469653.111854</v>
      </c>
      <c r="C11" s="18">
        <f>-C6*Assumptions!B10</f>
        <v>-591987864.5851746</v>
      </c>
      <c r="D11" s="18">
        <f>-D6*Assumptions!B10</f>
        <v>-637796154.5854015</v>
      </c>
      <c r="E11" s="18">
        <f>-E6*Assumptions!B10</f>
        <v>-687149110.8841772</v>
      </c>
      <c r="F11" s="18">
        <f>-F6*Assumptions!B10</f>
        <v>-740321021.3706154</v>
      </c>
    </row>
    <row r="12" spans="1:6" x14ac:dyDescent="0.25">
      <c r="A12" t="s">
        <v>48</v>
      </c>
      <c r="B12" s="18">
        <f>-(B6-Assumptions!B29)*Assumptions!B11</f>
        <v>-201817480.0536998</v>
      </c>
      <c r="C12" s="18">
        <f>-(C6-B6)*Assumptions!B11</f>
        <v>-217434208.37952983</v>
      </c>
      <c r="D12" s="18">
        <f>-(D6-C6)*Assumptions!B11</f>
        <v>-234259366.2404916</v>
      </c>
      <c r="E12" s="18">
        <f>-(E6-D6)*Assumptions!B11</f>
        <v>-252386462.46320477</v>
      </c>
      <c r="F12" s="18">
        <f>-(F6-E6)*Assumptions!B11</f>
        <v>-271916241.62978834</v>
      </c>
    </row>
    <row r="13" spans="1:6" x14ac:dyDescent="0.25">
      <c r="A13" s="19" t="s">
        <v>49</v>
      </c>
      <c r="B13" s="20">
        <f>B9+B10+B11+B12</f>
        <v>1086871415.2278078</v>
      </c>
      <c r="C13" s="20">
        <f>C9+C10+C11+C12</f>
        <v>1170974019.2847342</v>
      </c>
      <c r="D13" s="20">
        <f>D9+D10+D11+D12</f>
        <v>1261584521.0653985</v>
      </c>
      <c r="E13" s="20">
        <f>E9+E10+E11+E12</f>
        <v>1359206504.6532836</v>
      </c>
      <c r="F13" s="20">
        <f>F9+F10+F11+F12</f>
        <v>1464382521.6971164</v>
      </c>
    </row>
    <row r="14" spans="1:6" x14ac:dyDescent="0.25">
      <c r="A14" t="s">
        <v>50</v>
      </c>
      <c r="B14" s="21">
        <f>1/(1+Assumptions!$B$26)^(1-0.5*Assumptions!$B$32)</f>
        <v>0.9625754395554279</v>
      </c>
      <c r="C14" s="21">
        <f>1/(1+Assumptions!$B$26)^(2-0.5*Assumptions!$B$32)</f>
        <v>0.891875695085494</v>
      </c>
      <c r="D14" s="21">
        <f>1/(1+Assumptions!$B$26)^(3-0.5*Assumptions!$B$32)</f>
        <v>0.8263687424349965</v>
      </c>
      <c r="E14" s="21">
        <f>1/(1+Assumptions!$B$26)^(4-0.5*Assumptions!$B$32)</f>
        <v>0.7656731787136964</v>
      </c>
      <c r="F14" s="21">
        <f>1/(1+Assumptions!$B$26)^(5-0.5*Assumptions!$B$32)</f>
        <v>0.7094356145103732</v>
      </c>
    </row>
    <row r="15" spans="1:6" x14ac:dyDescent="0.25">
      <c r="A15" s="19" t="s">
        <v>51</v>
      </c>
      <c r="B15" s="20">
        <f>B13*B14</f>
        <v>1046195730.253137</v>
      </c>
      <c r="C15" s="20">
        <f>C13*C14</f>
        <v>1044363267.3766271</v>
      </c>
      <c r="D15" s="20">
        <f>D13*D14</f>
        <v>1042534014.1482706</v>
      </c>
      <c r="E15" s="20">
        <f>E13*E14</f>
        <v>1040707964.9462123</v>
      </c>
      <c r="F15" s="20">
        <f>F13*F14</f>
        <v>1038885114.1584437</v>
      </c>
    </row>
    <row r="17" spans="1:2" x14ac:dyDescent="0.25">
      <c r="A17" s="22" t="s">
        <v>52</v>
      </c>
      <c r="B17" s="23">
        <f>SUM(B15:F15)</f>
        <v>5212686090.88269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1464382521.6971164</v>
      </c>
    </row>
    <row r="5" spans="1:2" x14ac:dyDescent="0.25">
      <c r="A5" t="s">
        <v>56</v>
      </c>
      <c r="B5" s="18">
        <f>IF(Assumptions!$B$33=0,B4,B4-Forecast!F11-Forecast!F10-Forecast!F12)</f>
        <v>1259929044.907479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0.1026866612296236</v>
      </c>
    </row>
    <row r="7" spans="1:2" x14ac:dyDescent="0.25">
      <c r="A7" t="s">
        <v>58</v>
      </c>
      <c r="B7" s="18">
        <f>-MAX(Forecast!F9,0)*B6</f>
        <v>-129377907.00777751</v>
      </c>
    </row>
    <row r="8" spans="1:2" x14ac:dyDescent="0.25">
      <c r="A8" t="s">
        <v>59</v>
      </c>
      <c r="B8" s="18">
        <f>IF(OR(Assumptions!$B$33=0,Assumptions!B12&lt;=0),B5,MAX(B5+B7,0))</f>
        <v>1130551137.8997016</v>
      </c>
    </row>
    <row r="9" spans="1:2" x14ac:dyDescent="0.25">
      <c r="A9" t="s">
        <v>60</v>
      </c>
      <c r="B9" s="18">
        <f>B8*(1+Assumptions!B12)/(Assumptions!B26-Assumptions!B12)</f>
        <v>21352437187.196335</v>
      </c>
    </row>
    <row r="10" spans="1:2" x14ac:dyDescent="0.25">
      <c r="A10" t="s">
        <v>61</v>
      </c>
      <c r="B10" s="18">
        <f>B9/(1+Assumptions!B26)^(5-0.5*Assumptions!B32)</f>
        <v>15148179397.192776</v>
      </c>
    </row>
    <row r="11" spans="1:2" x14ac:dyDescent="0.25">
      <c r="A11" t="s">
        <v>62</v>
      </c>
      <c r="B11" s="18">
        <f>Forecast!B17+B10</f>
        <v>20360865488.075466</v>
      </c>
    </row>
    <row r="12" spans="1:2" x14ac:dyDescent="0.25">
      <c r="A12" t="s">
        <v>63</v>
      </c>
      <c r="B12" s="18">
        <f>-Assumptions!B30</f>
        <v>-2826000000</v>
      </c>
    </row>
    <row r="13" spans="1:2" x14ac:dyDescent="0.25">
      <c r="A13" t="s">
        <v>64</v>
      </c>
      <c r="B13" s="18">
        <f>B11+B12</f>
        <v>17534865488.075466</v>
      </c>
    </row>
    <row r="14" spans="1:2" x14ac:dyDescent="0.25">
      <c r="A14" s="19" t="s">
        <v>65</v>
      </c>
      <c r="B14" s="24">
        <f>B13/Assumptions!B31</f>
        <v>3.4301380062745435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2887973371.993886</v>
      </c>
    </row>
    <row r="18" spans="1:2" x14ac:dyDescent="0.25">
      <c r="A18" t="s">
        <v>60</v>
      </c>
      <c r="B18" s="18">
        <f>B17*Assumptions!B13</f>
        <v>9445915859.279846</v>
      </c>
    </row>
    <row r="19" spans="1:2" x14ac:dyDescent="0.25">
      <c r="A19" t="s">
        <v>61</v>
      </c>
      <c r="B19" s="18">
        <f>B18/(1+Assumptions!B26)^(5-0.5*Assumptions!B32)</f>
        <v>6701269122.241477</v>
      </c>
    </row>
    <row r="20" spans="1:2" x14ac:dyDescent="0.25">
      <c r="A20" t="s">
        <v>62</v>
      </c>
      <c r="B20" s="18">
        <f>Forecast!B17+B19</f>
        <v>11913955213.124168</v>
      </c>
    </row>
    <row r="21" spans="1:2" x14ac:dyDescent="0.25">
      <c r="A21" t="s">
        <v>63</v>
      </c>
      <c r="B21" s="18">
        <f>-Assumptions!B30</f>
        <v>-2826000000</v>
      </c>
    </row>
    <row r="22" spans="1:2" x14ac:dyDescent="0.25">
      <c r="A22" t="s">
        <v>64</v>
      </c>
      <c r="B22" s="18">
        <f>B20+B21</f>
        <v>9087955213.124168</v>
      </c>
    </row>
    <row r="23" spans="1:2" x14ac:dyDescent="0.25">
      <c r="A23" s="19" t="s">
        <v>65</v>
      </c>
      <c r="B23" s="25">
        <f>B22/Assumptions!B31</f>
        <v>1.7777690166518327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73.72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343.0138006274544</v>
      </c>
    </row>
    <row r="29" spans="1:2" x14ac:dyDescent="0.25">
      <c r="A29" s="19" t="s">
        <v>73</v>
      </c>
      <c r="B29" s="12">
        <f>B28/B26-1</f>
        <v>3.6529273009692673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0.059271</v>
      </c>
      <c r="B5" s="31">
        <v>4.608157498906966</v>
      </c>
      <c r="C5" s="31">
        <v>5.050437735473377</v>
      </c>
      <c r="D5" s="31">
        <v>5.6206319285395665</v>
      </c>
      <c r="E5" s="31">
        <v>6.3842899174515315</v>
      </c>
      <c r="F5" s="31">
        <v>7.460976488896537</v>
      </c>
    </row>
    <row r="6" spans="1:6" x14ac:dyDescent="0.25">
      <c r="A6" s="30">
        <v>0.069271</v>
      </c>
      <c r="B6" s="31">
        <v>3.6908763524585986</v>
      </c>
      <c r="C6" s="31">
        <v>3.9554471587886333</v>
      </c>
      <c r="D6" s="31">
        <v>4.2789337828670515</v>
      </c>
      <c r="E6" s="31">
        <v>4.683839783712615</v>
      </c>
      <c r="F6" s="31">
        <v>5.205801432560687</v>
      </c>
    </row>
    <row r="7" spans="1:6" x14ac:dyDescent="0.25">
      <c r="A7" s="30">
        <v>0.079271</v>
      </c>
      <c r="B7" s="31">
        <v>3.058081485661059</v>
      </c>
      <c r="C7" s="31">
        <v>3.2287148897572178</v>
      </c>
      <c r="D7" s="32">
        <v>3.430127611050458</v>
      </c>
      <c r="E7" s="31">
        <v>3.6716900653625895</v>
      </c>
      <c r="F7" s="31">
        <v>3.96700587572637</v>
      </c>
    </row>
    <row r="8" spans="1:6" x14ac:dyDescent="0.25">
      <c r="A8" s="30">
        <v>0.089271</v>
      </c>
      <c r="B8" s="31">
        <v>2.594913534757901</v>
      </c>
      <c r="C8" s="31">
        <v>2.710819937138912</v>
      </c>
      <c r="D8" s="31">
        <v>2.8442243426309655</v>
      </c>
      <c r="E8" s="31">
        <v>2.999555055913679</v>
      </c>
      <c r="F8" s="31">
        <v>3.1828723046751364</v>
      </c>
    </row>
    <row r="9" spans="1:6" x14ac:dyDescent="0.25">
      <c r="A9" s="30">
        <v>0.099271</v>
      </c>
      <c r="B9" s="31">
        <v>2.24102890672849</v>
      </c>
      <c r="C9" s="31">
        <v>2.3227808514177024</v>
      </c>
      <c r="D9" s="31">
        <v>2.4150948936593575</v>
      </c>
      <c r="E9" s="31">
        <v>2.5202581588491735</v>
      </c>
      <c r="F9" s="31">
        <v>2.64126948540918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12662000000</v>
      </c>
      <c r="C5" s="18">
        <v>11458000000</v>
      </c>
      <c r="D5" s="18">
        <v>10542000000</v>
      </c>
      <c r="E5" s="18">
        <v>10125000000</v>
      </c>
      <c r="F5" s="8" t="s">
        <v>84</v>
      </c>
    </row>
    <row r="6" spans="1:6" x14ac:dyDescent="0.25">
      <c r="A6" t="s">
        <v>44</v>
      </c>
      <c r="B6" s="18">
        <v>966000000</v>
      </c>
      <c r="C6" s="18">
        <v>978000000</v>
      </c>
      <c r="D6" s="18">
        <v>972000000</v>
      </c>
      <c r="E6" s="18">
        <v>1055400000</v>
      </c>
      <c r="F6" s="8" t="s">
        <v>85</v>
      </c>
    </row>
    <row r="7" spans="1:6" x14ac:dyDescent="0.25">
      <c r="A7" t="s">
        <v>86</v>
      </c>
      <c r="B7" s="18">
        <v>966000000</v>
      </c>
      <c r="C7" s="18">
        <v>786000000</v>
      </c>
      <c r="D7" s="18">
        <v>664000000</v>
      </c>
      <c r="E7" s="18">
        <v>633200000</v>
      </c>
      <c r="F7" s="8" t="s">
        <v>87</v>
      </c>
    </row>
    <row r="8" spans="1:6" x14ac:dyDescent="0.25">
      <c r="A8" t="s">
        <v>88</v>
      </c>
      <c r="B8" s="18">
        <v>401000000</v>
      </c>
      <c r="C8" s="18">
        <v>515000000</v>
      </c>
      <c r="D8" s="18">
        <v>530000000</v>
      </c>
      <c r="E8" s="18">
        <v>346500000</v>
      </c>
      <c r="F8" s="8" t="s">
        <v>89</v>
      </c>
    </row>
    <row r="9" spans="1:6" x14ac:dyDescent="0.25">
      <c r="A9" t="s">
        <v>90</v>
      </c>
      <c r="B9" s="18">
        <v>248000000</v>
      </c>
      <c r="C9" s="18">
        <v>137000000</v>
      </c>
      <c r="D9" s="18">
        <v>197000000</v>
      </c>
      <c r="E9" s="18">
        <v>398600000</v>
      </c>
      <c r="F9" s="8" t="s">
        <v>91</v>
      </c>
    </row>
    <row r="10" spans="1:6" x14ac:dyDescent="0.25">
      <c r="A10" t="s">
        <v>92</v>
      </c>
      <c r="B10" s="18">
        <v>3680000000</v>
      </c>
      <c r="C10" s="18">
        <v>3738000000</v>
      </c>
      <c r="D10" s="18">
        <v>2614000000</v>
      </c>
      <c r="E10" s="18">
        <v>2497200000</v>
      </c>
      <c r="F10" s="8" t="s">
        <v>93</v>
      </c>
    </row>
    <row r="11" spans="1:6" x14ac:dyDescent="0.25">
      <c r="A11" t="s">
        <v>94</v>
      </c>
      <c r="B11" s="18">
        <v>854000000</v>
      </c>
      <c r="C11" s="18">
        <v>731000000</v>
      </c>
      <c r="D11" s="18">
        <v>1153000000</v>
      </c>
      <c r="E11" s="18">
        <v>1508000000</v>
      </c>
      <c r="F11" s="8" t="s">
        <v>95</v>
      </c>
    </row>
    <row r="12" spans="1:6" x14ac:dyDescent="0.25">
      <c r="A12" t="s">
        <v>32</v>
      </c>
      <c r="B12" s="34">
        <v>5112000000</v>
      </c>
      <c r="C12" s="34">
        <v>5160000000</v>
      </c>
      <c r="D12" s="34">
        <v>5158000000</v>
      </c>
      <c r="E12" s="34">
        <v>5158600000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