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<sst xmlns="http://schemas.openxmlformats.org/spreadsheetml/2006/main" count="117" uniqueCount="105">
  <si>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Jio Financial Services Limited (JIOFIN.NS)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</si>
  <si>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</si>
  <si>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</si>
  <si>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</si>
  <si>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</si>
  <si>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</si>
  <si>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</si>
  <si>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</si>
  <si>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</si>
  <si>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</si>
  <si>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</si>
  <si>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</si>
  <si>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</si>
  <si>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</si>
  <si>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</si>
  <si>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</si>
  <si>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</si>
  <si>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</si>
  <si>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</si>
  <si>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</si>
  <si>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</si>
  <si>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</si>
  <si>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</si>
  <si>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</si>
  <si>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</si>
  <si>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</si>
  <si>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</si>
  <si>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</si>
  <si>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</si>
  <si>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</si>
  <si>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</si>
  <si>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</si>
  <si>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</si>
  <si>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</si>
  <si>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</si>
  <si>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</si>
  <si>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</si>
  <si>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</si>
  <si>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</si>
  <si>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</si>
  <si>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</si>
  <si>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</si>
  <si>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</si>
  <si>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</si>
  <si>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</si>
  <si>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</si>
  <si>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</si>
  <si>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</si>
  <si>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</si>
  <si>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</si>
  <si>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</si>
  <si>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</si>
  <si>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</si>
  <si>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</si>
  <si>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</si>
  <si>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</si>
  <si>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</si>
  <si>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</si>
  <si>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</si>
  <si>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</si>
  <si>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</si>
  <si>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</si>
  <si>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</si>
  <si>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</si>
  <si>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</si>
  <si>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</si>
  <si>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</si>
  <si>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</si>
  <si>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</si>
  <si>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</si>
  <si>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</si>
  <si>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</si>
  <si>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</si>
  <si>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</si>
  <si>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</si>
  <si>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</si>
  <si>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</si>
  <si>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</si>
  <si>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</si>
  <si>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</si>
  <si>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</si>
  <si>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</si>
  <si>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</si>
  <si>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</si>
  <si>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</si>
  <si>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</si>
  <si>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</si>
  <si>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</si>
  <si>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</si>
  <si>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</si>
  <si>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</si>
  <si>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</si>
  <si>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</si>
  <si>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</si>
  <si>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</si>
  <si>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</si>
  <si>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</si>
  <si>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</si>
  <si>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</si>
  <si>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</si>
  <si>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Consensus rests on as few as 1 analyst estimate(s).</t>
  </si>
  <si>
    <t>Adjusted: Capital expenditure runs at 1.6% of revenue against depreciation of 1.1%.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</si>
  <si>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</si>
  <si>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67.5x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</si>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</sst>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1.1109766985702878</v>
      </c>
    </row>
    <row r="8" spans="1:2" x14ac:dyDescent="0.25">
      <c r="A8" t="s">
        <v>6</v>
      </c>
      <c r="B8" s="6">
        <v>0.18155814486362454</v>
      </c>
    </row>
    <row r="9" spans="1:2" x14ac:dyDescent="0.25">
      <c r="A9" t="s">
        <v>7</v>
      </c>
      <c r="B9" s="6">
        <v>0.011084989544601524</v>
      </c>
    </row>
    <row r="10" spans="1:2" x14ac:dyDescent="0.25">
      <c r="A10" t="s">
        <v>8</v>
      </c>
      <c r="B10" s="6">
        <v>0.01620151143506822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0.1125106524237976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0.6583</v>
      </c>
      <c r="C19" s="8" t="s">
        <v>19</v>
      </c>
    </row>
    <row r="20" spans="1:2" x14ac:dyDescent="0.25">
      <c r="A20" t="s">
        <v>20</v>
      </c>
      <c r="B20" s="10">
        <f>B17+B19*B18</f>
        <v>0.12066400000000001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1517996212224</v>
      </c>
    </row>
    <row r="23" spans="1:2" x14ac:dyDescent="0.25">
      <c r="A23" t="s">
        <v>24</v>
      </c>
      <c r="B23" s="11">
        <v>217683600000</v>
      </c>
    </row>
    <row r="24" spans="1:2" x14ac:dyDescent="0.25">
      <c r="A24" t="s">
        <v>25</v>
      </c>
      <c r="B24" s="10">
        <f>B22/(B22+B23)</f>
        <v>0.8745830893077723</v>
      </c>
    </row>
    <row r="25" spans="1:2" x14ac:dyDescent="0.25">
      <c r="A25" t="s">
        <v>26</v>
      </c>
      <c r="B25" s="10">
        <f>1-B24</f>
        <v>0.1254169106922277</v>
      </c>
    </row>
    <row r="26" spans="1:2" x14ac:dyDescent="0.25">
      <c r="A26" t="s">
        <v>27</v>
      </c>
      <c r="B26" s="12">
        <f>B24*B20+B25*B21*(1-B8)</f>
        <v>0.1125106524237976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31853100000</v>
      </c>
      <c r="C29" s="8" t="s">
        <v>30</v>
      </c>
    </row>
    <row r="30" spans="1:2" x14ac:dyDescent="0.25">
      <c r="A30" t="s">
        <v>31</v>
      </c>
      <c r="B30" s="11">
        <v>49410000000</v>
      </c>
    </row>
    <row r="31" spans="1:2" x14ac:dyDescent="0.25">
      <c r="A31" t="s">
        <v>32</v>
      </c>
      <c r="B31" s="13">
        <v>6353141623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47779650000</v>
      </c>
      <c r="C6" s="18">
        <f>B6*(1+C5)</f>
        <v>71669475000</v>
      </c>
      <c r="D6" s="18">
        <f>C6*(1+D5)</f>
        <v>107504212500</v>
      </c>
      <c r="E6" s="18">
        <f>D6*(1+E5)</f>
        <v>161256318750</v>
      </c>
      <c r="F6" s="18">
        <f>E6*(1+F5)</f>
        <v>241884478125</v>
      </c>
    </row>
    <row r="7" spans="1:6" x14ac:dyDescent="0.25">
      <c r="A7" t="s">
        <v>5</v>
      </c>
      <c r="B7" s="10">
        <f>Assumptions!B7</f>
        <v>1.1109766985702878</v>
      </c>
      <c r="C7" s="10">
        <f>Assumptions!B7</f>
        <v>1.1109766985702878</v>
      </c>
      <c r="D7" s="10">
        <f>Assumptions!B7</f>
        <v>1.1109766985702878</v>
      </c>
      <c r="E7" s="10">
        <f>Assumptions!B7</f>
        <v>1.1109766985702878</v>
      </c>
      <c r="F7" s="10">
        <f>Assumptions!B7</f>
        <v>1.1109766985702878</v>
      </c>
    </row>
    <row r="8" spans="1:6" x14ac:dyDescent="0.25">
      <c r="A8" t="s">
        <v>44</v>
      </c>
      <c r="B8" s="18">
        <f>B6*B7</f>
        <v>53082077815.84385</v>
      </c>
      <c r="C8" s="18">
        <f>C6*C7</f>
        <v>79623116723.76578</v>
      </c>
      <c r="D8" s="18">
        <f>D6*D7</f>
        <v>119434675085.64867</v>
      </c>
      <c r="E8" s="18">
        <f>E6*E7</f>
        <v>179152012628.473</v>
      </c>
      <c r="F8" s="18">
        <f>F6*F7</f>
        <v>268728018942.7095</v>
      </c>
    </row>
    <row r="9" spans="1:6" x14ac:dyDescent="0.25">
      <c r="A9" t="s">
        <v>45</v>
      </c>
      <c r="B9" s="18">
        <f>B8*(1-Assumptions!B8)</f>
        <v>43444594242.09268</v>
      </c>
      <c r="C9" s="18">
        <f>C8*(1-Assumptions!B8)</f>
        <v>65166891363.13902</v>
      </c>
      <c r="D9" s="18">
        <f>D8*(1-Assumptions!B8)</f>
        <v>97750337044.70854</v>
      </c>
      <c r="E9" s="18">
        <f>E8*(1-Assumptions!B8)</f>
        <v>146625505567.0628</v>
      </c>
      <c r="F9" s="18">
        <f>F8*(1-Assumptions!B8)</f>
        <v>219938258350.5942</v>
      </c>
    </row>
    <row r="10" spans="1:6" x14ac:dyDescent="0.25">
      <c r="A10" t="s">
        <v>46</v>
      </c>
      <c r="B10" s="18">
        <f>B6*Assumptions!B9</f>
        <v>529636920.6947202</v>
      </c>
      <c r="C10" s="18">
        <f>C6*Assumptions!B9</f>
        <v>794455381.0420803</v>
      </c>
      <c r="D10" s="18">
        <f>D6*Assumptions!B9</f>
        <v>1191683071.5631204</v>
      </c>
      <c r="E10" s="18">
        <f>E6*Assumptions!B9</f>
        <v>1787524607.3446805</v>
      </c>
      <c r="F10" s="18">
        <f>F6*Assumptions!B9</f>
        <v>2681286911.0170207</v>
      </c>
    </row>
    <row r="11" spans="1:6" x14ac:dyDescent="0.25">
      <c r="A11" t="s">
        <v>47</v>
      </c>
      <c r="B11" s="18">
        <f>-B6*Assumptions!B10</f>
        <v>-774102545.8385572</v>
      </c>
      <c r="C11" s="18">
        <f>-C6*Assumptions!B10</f>
        <v>-1161153818.7578359</v>
      </c>
      <c r="D11" s="18">
        <f>-D6*Assumptions!B10</f>
        <v>-1741730728.1367538</v>
      </c>
      <c r="E11" s="18">
        <f>-E6*Assumptions!B10</f>
        <v>-2612596092.2051306</v>
      </c>
      <c r="F11" s="18">
        <f>-F6*Assumptions!B10</f>
        <v>-3918894138.307696</v>
      </c>
    </row>
    <row r="12" spans="1:6" x14ac:dyDescent="0.25">
      <c r="A12" t="s">
        <v>48</v>
      </c>
      <c r="B12" s="18">
        <f>-(B6-Assumptions!B29)*Assumptions!B11</f>
        <v>-15926550000</v>
      </c>
      <c r="C12" s="18">
        <f>-(C6-B6)*Assumptions!B11</f>
        <v>-23889825000</v>
      </c>
      <c r="D12" s="18">
        <f>-(D6-C6)*Assumptions!B11</f>
        <v>-35834737500</v>
      </c>
      <c r="E12" s="18">
        <f>-(E6-D6)*Assumptions!B11</f>
        <v>-53752106250</v>
      </c>
      <c r="F12" s="18">
        <f>-(F6-E6)*Assumptions!B11</f>
        <v>-80628159375</v>
      </c>
    </row>
    <row r="13" spans="1:6" x14ac:dyDescent="0.25">
      <c r="A13" s="19" t="s">
        <v>49</v>
      </c>
      <c r="B13" s="20">
        <f>B9+B10+B11+B12</f>
        <v>27273578616.948845</v>
      </c>
      <c r="C13" s="20">
        <f>C9+C10+C11+C12</f>
        <v>40910367925.42327</v>
      </c>
      <c r="D13" s="20">
        <f>D9+D10+D11+D12</f>
        <v>61365551888.13492</v>
      </c>
      <c r="E13" s="20">
        <f>E9+E10+E11+E12</f>
        <v>92048327832.20233</v>
      </c>
      <c r="F13" s="20">
        <f>F9+F10+F11+F12</f>
        <v>138072491748.30353</v>
      </c>
    </row>
    <row r="14" spans="1:6" x14ac:dyDescent="0.25">
      <c r="A14" t="s">
        <v>50</v>
      </c>
      <c r="B14" s="21">
        <f>1/(1+Assumptions!$B$26)^(1-0.5*Assumptions!$B$32)</f>
        <v>0.9480863872265534</v>
      </c>
      <c r="C14" s="21">
        <f>1/(1+Assumptions!$B$26)^(2-0.5*Assumptions!$B$32)</f>
        <v>0.8522043228628712</v>
      </c>
      <c r="D14" s="21">
        <f>1/(1+Assumptions!$B$26)^(3-0.5*Assumptions!$B$32)</f>
        <v>0.7660190228346992</v>
      </c>
      <c r="E14" s="21">
        <f>1/(1+Assumptions!$B$26)^(4-0.5*Assumptions!$B$32)</f>
        <v>0.6885498320090634</v>
      </c>
      <c r="F14" s="21">
        <f>1/(1+Assumptions!$B$26)^(5-0.5*Assumptions!$B$32)</f>
        <v>0.6189152710663381</v>
      </c>
    </row>
    <row r="15" spans="1:6" x14ac:dyDescent="0.25">
      <c r="A15" s="19" t="s">
        <v>51</v>
      </c>
      <c r="B15" s="20">
        <f>B13*B14</f>
        <v>25857708617.682407</v>
      </c>
      <c r="C15" s="20">
        <f>C13*C14</f>
        <v>34863992395.95626</v>
      </c>
      <c r="D15" s="20">
        <f>D13*D14</f>
        <v>47007180093.06114</v>
      </c>
      <c r="E15" s="20">
        <f>E13*E14</f>
        <v>63379860665.57811</v>
      </c>
      <c r="F15" s="20">
        <f>F13*F14</f>
        <v>85455173657.20601</v>
      </c>
    </row>
    <row r="17" spans="1:2" x14ac:dyDescent="0.25">
      <c r="A17" s="22" t="s">
        <v>52</v>
      </c>
      <c r="B17" s="23">
        <f>SUM(B15:F15)</f>
        <v>256563915429.48395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138072491748.30353</v>
      </c>
    </row>
    <row r="5" spans="1:2" x14ac:dyDescent="0.25">
      <c r="A5" t="s">
        <v>56</v>
      </c>
      <c r="B5" s="18">
        <f>IF(Assumptions!$B$33=0,B4,B4-Forecast!F11-Forecast!F10-Forecast!F12)</f>
        <v>220825240216.2838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0.22220118238966097</v>
      </c>
    </row>
    <row r="7" spans="1:2" x14ac:dyDescent="0.25">
      <c r="A7" t="s">
        <v>58</v>
      </c>
      <c r="B7" s="18">
        <f>-MAX(Forecast!F9,0)*B6</f>
        <v>-49067629477.53918</v>
      </c>
    </row>
    <row r="8" spans="1:2" x14ac:dyDescent="0.25">
      <c r="A8" t="s">
        <v>59</v>
      </c>
      <c r="B8" s="18">
        <f>IF(OR(Assumptions!$B$33=0,Assumptions!B12&lt;=0),B5,MAX(B5+B7,0))</f>
        <v>171757610738.74463</v>
      </c>
    </row>
    <row r="9" spans="1:2" x14ac:dyDescent="0.25">
      <c r="A9" t="s">
        <v>60</v>
      </c>
      <c r="B9" s="18">
        <f>B8*(1+Assumptions!B12)/(Assumptions!B26-Assumptions!B12)</f>
        <v>2011772808579.1057</v>
      </c>
    </row>
    <row r="10" spans="1:2" x14ac:dyDescent="0.25">
      <c r="A10" t="s">
        <v>61</v>
      </c>
      <c r="B10" s="18">
        <f>B9/(1+Assumptions!B26)^(5-0.5*Assumptions!B32)</f>
        <v>1245116913145.6257</v>
      </c>
    </row>
    <row r="11" spans="1:2" x14ac:dyDescent="0.25">
      <c r="A11" t="s">
        <v>62</v>
      </c>
      <c r="B11" s="18">
        <f>Forecast!B17+B10</f>
        <v>1501680828575.1096</v>
      </c>
    </row>
    <row r="12" spans="1:2" x14ac:dyDescent="0.25">
      <c r="A12" t="s">
        <v>63</v>
      </c>
      <c r="B12" s="18">
        <f>-Assumptions!B30</f>
        <v>-49410000000</v>
      </c>
    </row>
    <row r="13" spans="1:2" x14ac:dyDescent="0.25">
      <c r="A13" t="s">
        <v>64</v>
      </c>
      <c r="B13" s="18">
        <f>B11+B12</f>
        <v>1452270828575.1096</v>
      </c>
    </row>
    <row r="14" spans="1:2" x14ac:dyDescent="0.25">
      <c r="A14" s="19" t="s">
        <v>65</v>
      </c>
      <c r="B14" s="24">
        <f>B13/Assumptions!B31</f>
        <v>228.59097352993317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271409305853.72653</v>
      </c>
    </row>
    <row r="18" spans="1:2" x14ac:dyDescent="0.25">
      <c r="A18" t="s">
        <v>60</v>
      </c>
      <c r="B18" s="18">
        <f>B17*Assumptions!B13</f>
        <v>5428186117074.53</v>
      </c>
    </row>
    <row r="19" spans="1:2" x14ac:dyDescent="0.25">
      <c r="A19" t="s">
        <v>61</v>
      </c>
      <c r="B19" s="18">
        <f>B18/(1+Assumptions!B26)^(5-0.5*Assumptions!B32)</f>
        <v>3359587282047.7163</v>
      </c>
    </row>
    <row r="20" spans="1:2" x14ac:dyDescent="0.25">
      <c r="A20" t="s">
        <v>62</v>
      </c>
      <c r="B20" s="18">
        <f>Forecast!B17+B19</f>
        <v>3616151197477.2</v>
      </c>
    </row>
    <row r="21" spans="1:2" x14ac:dyDescent="0.25">
      <c r="A21" t="s">
        <v>63</v>
      </c>
      <c r="B21" s="18">
        <f>-Assumptions!B30</f>
        <v>-49410000000</v>
      </c>
    </row>
    <row r="22" spans="1:2" x14ac:dyDescent="0.25">
      <c r="A22" t="s">
        <v>64</v>
      </c>
      <c r="B22" s="18">
        <f>B20+B21</f>
        <v>3566741197477.2</v>
      </c>
    </row>
    <row r="23" spans="1:2" x14ac:dyDescent="0.25">
      <c r="A23" s="19" t="s">
        <v>65</v>
      </c>
      <c r="B23" s="25">
        <f>B22/Assumptions!B31</f>
        <v>561.413771190726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229.89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228.59097352993317</v>
      </c>
    </row>
    <row r="29" spans="1:2" x14ac:dyDescent="0.25">
      <c r="A29" s="19" t="s">
        <v>73</v>
      </c>
      <c r="B29" s="12">
        <f>B28/B26-1</f>
        <v>-0.005650643655952026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0.092511</v>
      </c>
      <c r="B5" s="31">
        <v>291.04048784965494</v>
      </c>
      <c r="C5" s="31">
        <v>292.3020847724454</v>
      </c>
      <c r="D5" s="31">
        <v>293.56368169523586</v>
      </c>
      <c r="E5" s="31">
        <v>294.8252786180263</v>
      </c>
      <c r="F5" s="31">
        <v>296.08687554081666</v>
      </c>
    </row>
    <row r="6" spans="1:6" x14ac:dyDescent="0.25">
      <c r="A6" s="30">
        <v>0.102511</v>
      </c>
      <c r="B6" s="31">
        <v>255.58302643796932</v>
      </c>
      <c r="C6" s="31">
        <v>256.67581595102</v>
      </c>
      <c r="D6" s="31">
        <v>257.7686054640706</v>
      </c>
      <c r="E6" s="31">
        <v>258.86139497712117</v>
      </c>
      <c r="F6" s="31">
        <v>259.9541844901718</v>
      </c>
    </row>
    <row r="7" spans="1:6" x14ac:dyDescent="0.25">
      <c r="A7" s="30">
        <v>0.112511</v>
      </c>
      <c r="B7" s="31">
        <v>226.67801900280028</v>
      </c>
      <c r="C7" s="31">
        <v>227.6340363714734</v>
      </c>
      <c r="D7" s="32">
        <v>228.59005374014643</v>
      </c>
      <c r="E7" s="31">
        <v>229.5460711088196</v>
      </c>
      <c r="F7" s="31">
        <v>230.50208847749263</v>
      </c>
    </row>
    <row r="8" spans="1:6" x14ac:dyDescent="0.25">
      <c r="A8" s="30">
        <v>0.122511</v>
      </c>
      <c r="B8" s="31">
        <v>202.70889584713854</v>
      </c>
      <c r="C8" s="31">
        <v>203.5522254967679</v>
      </c>
      <c r="D8" s="31">
        <v>204.3955551463973</v>
      </c>
      <c r="E8" s="31">
        <v>205.23888479602672</v>
      </c>
      <c r="F8" s="31">
        <v>206.08221444565606</v>
      </c>
    </row>
    <row r="9" spans="1:6" x14ac:dyDescent="0.25">
      <c r="A9" s="30">
        <v>0.132511</v>
      </c>
      <c r="B9" s="31">
        <v>182.5477531264569</v>
      </c>
      <c r="C9" s="31">
        <v>183.29693509718928</v>
      </c>
      <c r="D9" s="31">
        <v>184.04611706792164</v>
      </c>
      <c r="E9" s="31">
        <v>184.79529903865406</v>
      </c>
      <c r="F9" s="31">
        <v>185.54448100938652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31853100000</v>
      </c>
      <c r="C5" s="18">
        <v>13473900000</v>
      </c>
      <c r="D5" s="18">
        <v>11706000000</v>
      </c>
      <c r="E5" s="18">
        <v>211900000</v>
      </c>
      <c r="F5" s="8" t="s">
        <v>84</v>
      </c>
    </row>
    <row r="6" spans="1:6" x14ac:dyDescent="0.25">
      <c r="A6" t="s">
        <v>44</v>
      </c>
      <c r="B6" s="18">
        <v>22909700000</v>
      </c>
      <c r="C6" s="18">
        <v>11819900000</v>
      </c>
      <c r="D6" s="18">
        <v>9113500000</v>
      </c>
      <c r="E6" s="18">
        <v>438400000</v>
      </c>
      <c r="F6" s="8" t="s">
        <v>85</v>
      </c>
    </row>
    <row r="7" spans="1:6" x14ac:dyDescent="0.25">
      <c r="A7" t="s">
        <v>86</v>
      </c>
      <c r="B7" s="18">
        <v>294400000</v>
      </c>
      <c r="C7" s="18">
        <v>225200000</v>
      </c>
      <c r="D7" s="18">
        <v>215200000</v>
      </c>
      <c r="E7" s="18">
        <v>0</v>
      </c>
      <c r="F7" s="8" t="s">
        <v>87</v>
      </c>
    </row>
    <row r="8" spans="1:6" x14ac:dyDescent="0.25">
      <c r="A8" t="s">
        <v>88</v>
      </c>
      <c r="B8" s="18">
        <v>1054600000</v>
      </c>
      <c r="C8" s="18">
        <v>418000000</v>
      </c>
      <c r="D8" s="18">
        <v>7900000</v>
      </c>
      <c r="E8" s="18">
        <v>0</v>
      </c>
      <c r="F8" s="8" t="s">
        <v>89</v>
      </c>
    </row>
    <row r="9" spans="1:6" x14ac:dyDescent="0.25">
      <c r="A9" t="s">
        <v>90</v>
      </c>
      <c r="B9" s="18">
        <v>151498900000</v>
      </c>
      <c r="C9" s="18">
        <v>96911300000</v>
      </c>
      <c r="D9" s="18">
        <v>2041400000</v>
      </c>
      <c r="E9" s="18">
        <v>-20111300000</v>
      </c>
      <c r="F9" s="8" t="s">
        <v>91</v>
      </c>
    </row>
    <row r="10" spans="1:6" x14ac:dyDescent="0.25">
      <c r="A10" t="s">
        <v>92</v>
      </c>
      <c r="B10" s="18">
        <v>217683600000</v>
      </c>
      <c r="C10" s="18">
        <v>39700000000</v>
      </c>
      <c r="D10" s="18">
        <v>0</v>
      </c>
      <c r="E10" s="18">
        <v>7427700000</v>
      </c>
      <c r="F10" s="8" t="s">
        <v>93</v>
      </c>
    </row>
    <row r="11" spans="1:6" x14ac:dyDescent="0.25">
      <c r="A11" t="s">
        <v>94</v>
      </c>
      <c r="B11" s="18">
        <v>168273600000</v>
      </c>
      <c r="C11" s="18">
        <v>117639400000</v>
      </c>
      <c r="D11" s="18">
        <v>165191400000</v>
      </c>
      <c r="E11" s="18">
        <v>163345000000</v>
      </c>
      <c r="F11" s="8" t="s">
        <v>95</v>
      </c>
    </row>
    <row r="12" spans="1:6" x14ac:dyDescent="0.25">
      <c r="A12" t="s">
        <v>32</v>
      </c>
      <c r="B12" s="34">
        <v>6353141623</v>
      </c>
      <c r="C12" s="34">
        <v>6353221303</v>
      </c>
      <c r="D12" s="34">
        <v>6353284188</v>
      </c>
      <c r="E12" s="34">
        <v>6353284188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