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<sst xmlns="http://schemas.openxmlformats.org/spreadsheetml/2006/main" count="111" uniqueCount="99">
  <si>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Jack Henry &amp; Associates, Inc. (JKHY)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</si>
  <si>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</si>
  <si>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</si>
  <si>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</si>
  <si>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</si>
  <si>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</si>
  <si>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</si>
  <si>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</si>
  <si>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</si>
  <si>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</si>
  <si>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</si>
  <si>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</si>
  <si>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</si>
  <si>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</si>
  <si>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</si>
  <si>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</si>
  <si>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</si>
  <si>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</si>
  <si>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</si>
  <si>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</si>
  <si>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</si>
  <si>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</si>
  <si>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Implied cost of debt of 26.9% is not a credible funding cost, so risk-free + 2bp is assumed instead. Interest expense and reported debt are measuring different things - common for banks, whose interest expense includes deposits that total debt excludes.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</si>
  <si>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</si>
  <si>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</si>
  <si>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</si>
  <si>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</si>
  <si>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</si>
  <si>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</si>
  <si>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</si>
  <si>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2026-06-30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</si>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</sst>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0.06986892255213517</v>
      </c>
    </row>
    <row r="7" spans="1:2" x14ac:dyDescent="0.25">
      <c r="A7" t="s">
        <v>5</v>
      </c>
      <c r="B7" s="6">
        <v>0.23531550394080367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0.08800876945644728</v>
      </c>
    </row>
    <row r="10" spans="1:2" x14ac:dyDescent="0.25">
      <c r="A10" t="s">
        <v>8</v>
      </c>
      <c r="B10" s="6">
        <v>0.10056236032422974</v>
      </c>
    </row>
    <row r="11" spans="1:2" x14ac:dyDescent="0.25">
      <c r="A11" t="s">
        <v>9</v>
      </c>
      <c r="B11" s="6">
        <v>0.329974390783584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12.831799008339287</v>
      </c>
    </row>
    <row r="14" spans="1:3" x14ac:dyDescent="0.25">
      <c r="A14" t="s">
        <v>12</v>
      </c>
      <c r="B14" s="6">
        <v>0.20623215468161799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0.70788</v>
      </c>
      <c r="C19" s="8" t="s">
        <v>19</v>
      </c>
    </row>
    <row r="20" spans="1:2" x14ac:dyDescent="0.25">
      <c r="A20" t="s">
        <v>20</v>
      </c>
      <c r="B20" s="10">
        <f>B17+B19*B18</f>
        <v>0.0889134</v>
      </c>
    </row>
    <row r="21" spans="1:3" x14ac:dyDescent="0.25">
      <c r="A21" t="s">
        <v>21</v>
      </c>
      <c r="B21" s="6">
        <v>0.06998</v>
      </c>
      <c r="C21" s="8" t="s">
        <v>22</v>
      </c>
    </row>
    <row r="22" spans="1:2" x14ac:dyDescent="0.25">
      <c r="A22" t="s">
        <v>23</v>
      </c>
      <c r="B22" s="11">
        <v>10856937472</v>
      </c>
    </row>
    <row r="23" spans="1:2" x14ac:dyDescent="0.25">
      <c r="A23" t="s">
        <v>24</v>
      </c>
      <c r="B23" s="11">
        <v>40000000</v>
      </c>
    </row>
    <row r="24" spans="1:2" x14ac:dyDescent="0.25">
      <c r="A24" t="s">
        <v>25</v>
      </c>
      <c r="B24" s="10">
        <f>B22/(B22+B23)</f>
        <v>0.996329243872163</v>
      </c>
    </row>
    <row r="25" spans="1:2" x14ac:dyDescent="0.25">
      <c r="A25" t="s">
        <v>26</v>
      </c>
      <c r="B25" s="10">
        <f>1-B24</f>
        <v>0.0036707561278369605</v>
      </c>
    </row>
    <row r="26" spans="1:2" x14ac:dyDescent="0.25">
      <c r="A26" t="s">
        <v>27</v>
      </c>
      <c r="B26" s="12">
        <f>B24*B20+B25*B21*(1-B8)</f>
        <v>0.08878995540802576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2544339000</v>
      </c>
      <c r="C29" s="8" t="s">
        <v>30</v>
      </c>
    </row>
    <row r="30" spans="1:2" x14ac:dyDescent="0.25">
      <c r="A30" t="s">
        <v>31</v>
      </c>
      <c r="B30" s="11">
        <v>27944000</v>
      </c>
    </row>
    <row r="31" spans="1:2" x14ac:dyDescent="0.25">
      <c r="A31" t="s">
        <v>32</v>
      </c>
      <c r="B31" s="13">
        <v>72043000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0.06986892255213517</v>
      </c>
      <c r="C5" s="10">
        <f>Assumptions!B6</f>
        <v>0.06986892255213517</v>
      </c>
      <c r="D5" s="10">
        <f>Assumptions!B6</f>
        <v>0.06986892255213517</v>
      </c>
      <c r="E5" s="10">
        <f>Assumptions!B6</f>
        <v>0.06986892255213517</v>
      </c>
      <c r="F5" s="10">
        <f>Assumptions!B6</f>
        <v>0.06986892255213517</v>
      </c>
    </row>
    <row r="6" spans="1:6" x14ac:dyDescent="0.25">
      <c r="A6" t="s">
        <v>43</v>
      </c>
      <c r="B6" s="18">
        <f>Assumptions!B29*(1+B5)</f>
        <v>2722109224.537377</v>
      </c>
      <c r="C6" s="18">
        <f>B6*(1+C5)</f>
        <v>2912300063.1250315</v>
      </c>
      <c r="D6" s="18">
        <f>C6*(1+D5)</f>
        <v>3115779330.6840925</v>
      </c>
      <c r="E6" s="18">
        <f>D6*(1+E5)</f>
        <v>3333475475.429203</v>
      </c>
      <c r="F6" s="18">
        <f>E6*(1+F5)</f>
        <v>3566381815.251408</v>
      </c>
    </row>
    <row r="7" spans="1:6" x14ac:dyDescent="0.25">
      <c r="A7" t="s">
        <v>5</v>
      </c>
      <c r="B7" s="10">
        <f>Assumptions!B7</f>
        <v>0.23531550394080367</v>
      </c>
      <c r="C7" s="10">
        <f>Assumptions!B7</f>
        <v>0.23531550394080367</v>
      </c>
      <c r="D7" s="10">
        <f>Assumptions!B7</f>
        <v>0.23531550394080367</v>
      </c>
      <c r="E7" s="10">
        <f>Assumptions!B7</f>
        <v>0.23531550394080367</v>
      </c>
      <c r="F7" s="10">
        <f>Assumptions!B7</f>
        <v>0.23531550394080367</v>
      </c>
    </row>
    <row r="8" spans="1:6" x14ac:dyDescent="0.25">
      <c r="A8" t="s">
        <v>44</v>
      </c>
      <c r="B8" s="18">
        <f>B6*B7</f>
        <v>640554503.9539231</v>
      </c>
      <c r="C8" s="18">
        <f>C6*C7</f>
        <v>685309356.9811012</v>
      </c>
      <c r="D8" s="18">
        <f>D6*D7</f>
        <v>733191183.3682672</v>
      </c>
      <c r="E8" s="18">
        <f>E6*E7</f>
        <v>784418461.374933</v>
      </c>
      <c r="F8" s="18">
        <f>F6*F7</f>
        <v>839224934.1012032</v>
      </c>
    </row>
    <row r="9" spans="1:6" x14ac:dyDescent="0.25">
      <c r="A9" t="s">
        <v>45</v>
      </c>
      <c r="B9" s="18">
        <f>B8*(1-Assumptions!B8)</f>
        <v>506038058.1235993</v>
      </c>
      <c r="C9" s="18">
        <f>C8*(1-Assumptions!B8)</f>
        <v>541394392.01507</v>
      </c>
      <c r="D9" s="18">
        <f>D8*(1-Assumptions!B8)</f>
        <v>579221034.860931</v>
      </c>
      <c r="E9" s="18">
        <f>E8*(1-Assumptions!B8)</f>
        <v>619690584.4861971</v>
      </c>
      <c r="F9" s="18">
        <f>F8*(1-Assumptions!B8)</f>
        <v>662987697.9399506</v>
      </c>
    </row>
    <row r="10" spans="1:6" x14ac:dyDescent="0.25">
      <c r="A10" t="s">
        <v>46</v>
      </c>
      <c r="B10" s="18">
        <f>B6*Assumptions!B9</f>
        <v>239569483.1775785</v>
      </c>
      <c r="C10" s="18">
        <f>C6*Assumptions!B9</f>
        <v>256307944.84356776</v>
      </c>
      <c r="D10" s="18">
        <f>D6*Assumptions!B9</f>
        <v>274215904.79133993</v>
      </c>
      <c r="E10" s="18">
        <f>E6*Assumptions!B9</f>
        <v>293375074.60576975</v>
      </c>
      <c r="F10" s="18">
        <f>F6*Assumptions!B9</f>
        <v>313872874.97212714</v>
      </c>
    </row>
    <row r="11" spans="1:6" x14ac:dyDescent="0.25">
      <c r="A11" t="s">
        <v>47</v>
      </c>
      <c r="B11" s="18">
        <f>-B6*Assumptions!B10</f>
        <v>-273741728.6798373</v>
      </c>
      <c r="C11" s="18">
        <f>-C6*Assumptions!B10</f>
        <v>-292867768.3202565</v>
      </c>
      <c r="D11" s="18">
        <f>-D6*Assumptions!B10</f>
        <v>-313330123.7430411</v>
      </c>
      <c r="E11" s="18">
        <f>-E6*Assumptions!B10</f>
        <v>-335222161.89209455</v>
      </c>
      <c r="F11" s="18">
        <f>-F6*Assumptions!B10</f>
        <v>-358643773.15909266</v>
      </c>
    </row>
    <row r="12" spans="1:6" x14ac:dyDescent="0.25">
      <c r="A12" t="s">
        <v>48</v>
      </c>
      <c r="B12" s="18">
        <f>-(B6-Assumptions!B29)*Assumptions!B11</f>
        <v>-58659621.54118187</v>
      </c>
      <c r="C12" s="18">
        <f>-(C6-B6)*Assumptions!B11</f>
        <v>-62758106.09558028</v>
      </c>
      <c r="D12" s="18">
        <f>-(D6-C6)*Assumptions!B11</f>
        <v>-67142947.34989105</v>
      </c>
      <c r="E12" s="18">
        <f>-(E6-D6)*Assumptions!B11</f>
        <v>-71834152.73820277</v>
      </c>
      <c r="F12" s="18">
        <f>-(F6-E6)*Assumptions!B11</f>
        <v>-76853127.5924665</v>
      </c>
    </row>
    <row r="13" spans="1:6" x14ac:dyDescent="0.25">
      <c r="A13" s="19" t="s">
        <v>49</v>
      </c>
      <c r="B13" s="20">
        <f>B9+B10+B11+B12</f>
        <v>413206191.0801586</v>
      </c>
      <c r="C13" s="20">
        <f>C9+C10+C11+C12</f>
        <v>442076462.44280094</v>
      </c>
      <c r="D13" s="20">
        <f>D9+D10+D11+D12</f>
        <v>472963868.5593389</v>
      </c>
      <c r="E13" s="20">
        <f>E9+E10+E11+E12</f>
        <v>506009344.4616695</v>
      </c>
      <c r="F13" s="20">
        <f>F9+F10+F11+F12</f>
        <v>541363672.1605185</v>
      </c>
    </row>
    <row r="14" spans="1:6" x14ac:dyDescent="0.25">
      <c r="A14" t="s">
        <v>50</v>
      </c>
      <c r="B14" s="21">
        <f>1/(1+Assumptions!$B$26)^(1-0.5*Assumptions!$B$32)</f>
        <v>0.9583583854061541</v>
      </c>
      <c r="C14" s="21">
        <f>1/(1+Assumptions!$B$26)^(2-0.5*Assumptions!$B$32)</f>
        <v>0.8802050208545577</v>
      </c>
      <c r="D14" s="21">
        <f>1/(1+Assumptions!$B$26)^(3-0.5*Assumptions!$B$32)</f>
        <v>0.8084250010597308</v>
      </c>
      <c r="E14" s="21">
        <f>1/(1+Assumptions!$B$26)^(4-0.5*Assumptions!$B$32)</f>
        <v>0.7424985848227929</v>
      </c>
      <c r="F14" s="21">
        <f>1/(1+Assumptions!$B$26)^(5-0.5*Assumptions!$B$32)</f>
        <v>0.6819484154265</v>
      </c>
    </row>
    <row r="15" spans="1:6" x14ac:dyDescent="0.25">
      <c r="A15" s="19" t="s">
        <v>51</v>
      </c>
      <c r="B15" s="20">
        <f>B13*B14</f>
        <v>395999618.1234076</v>
      </c>
      <c r="C15" s="20">
        <f>C13*C14</f>
        <v>389117921.8437747</v>
      </c>
      <c r="D15" s="20">
        <f>D13*D14</f>
        <v>382355815.94129795</v>
      </c>
      <c r="E15" s="20">
        <f>E13*E14</f>
        <v>375711222.16989875</v>
      </c>
      <c r="F15" s="20">
        <f>F13*F14</f>
        <v>369182098.3993368</v>
      </c>
    </row>
    <row r="17" spans="1:2" x14ac:dyDescent="0.25">
      <c r="A17" s="22" t="s">
        <v>52</v>
      </c>
      <c r="B17" s="23">
        <f>SUM(B15:F15)</f>
        <v>1912366676.4777157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541363672.1605185</v>
      </c>
    </row>
    <row r="5" spans="1:2" x14ac:dyDescent="0.25">
      <c r="A5" t="s">
        <v>56</v>
      </c>
      <c r="B5" s="18">
        <f>IF(Assumptions!$B$33=0,B4,B4-Forecast!F11-Forecast!F10-Forecast!F12)</f>
        <v>855083573.609823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0.121222609726379</v>
      </c>
    </row>
    <row r="7" spans="1:2" x14ac:dyDescent="0.25">
      <c r="A7" t="s">
        <v>58</v>
      </c>
      <c r="B7" s="18">
        <f>-MAX(Forecast!F9,0)*B6</f>
        <v>-103655462.32714103</v>
      </c>
    </row>
    <row r="8" spans="1:2" x14ac:dyDescent="0.25">
      <c r="A8" t="s">
        <v>59</v>
      </c>
      <c r="B8" s="18">
        <f>IF(OR(Assumptions!$B$33=0,Assumptions!B12&lt;=0),B5,MAX(B5+B7,0))</f>
        <v>751428111.282682</v>
      </c>
    </row>
    <row r="9" spans="1:2" x14ac:dyDescent="0.25">
      <c r="A9" t="s">
        <v>60</v>
      </c>
      <c r="B9" s="18">
        <f>B8*(1+Assumptions!B12)/(Assumptions!B26-Assumptions!B12)</f>
        <v>12074217784.573715</v>
      </c>
    </row>
    <row r="10" spans="1:2" x14ac:dyDescent="0.25">
      <c r="A10" t="s">
        <v>61</v>
      </c>
      <c r="B10" s="18">
        <f>B9/(1+Assumptions!B26)^(5-0.5*Assumptions!B32)</f>
        <v>8233993685.70451</v>
      </c>
    </row>
    <row r="11" spans="1:2" x14ac:dyDescent="0.25">
      <c r="A11" t="s">
        <v>62</v>
      </c>
      <c r="B11" s="18">
        <f>Forecast!B17+B10</f>
        <v>10146360362.182226</v>
      </c>
    </row>
    <row r="12" spans="1:2" x14ac:dyDescent="0.25">
      <c r="A12" t="s">
        <v>63</v>
      </c>
      <c r="B12" s="18">
        <f>-Assumptions!B30</f>
        <v>-27944000</v>
      </c>
    </row>
    <row r="13" spans="1:2" x14ac:dyDescent="0.25">
      <c r="A13" t="s">
        <v>64</v>
      </c>
      <c r="B13" s="18">
        <f>B11+B12</f>
        <v>10118416362.182226</v>
      </c>
    </row>
    <row r="14" spans="1:2" x14ac:dyDescent="0.25">
      <c r="A14" s="19" t="s">
        <v>65</v>
      </c>
      <c r="B14" s="24">
        <f>B13/Assumptions!B31</f>
        <v>140.4496809153176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1153097809.0733304</v>
      </c>
    </row>
    <row r="18" spans="1:2" x14ac:dyDescent="0.25">
      <c r="A18" t="s">
        <v>60</v>
      </c>
      <c r="B18" s="18">
        <f>B17*Assumptions!B13</f>
        <v>14796319322.985365</v>
      </c>
    </row>
    <row r="19" spans="1:2" x14ac:dyDescent="0.25">
      <c r="A19" t="s">
        <v>61</v>
      </c>
      <c r="B19" s="18">
        <f>B18/(1+Assumptions!B26)^(5-0.5*Assumptions!B32)</f>
        <v>10090326516.454372</v>
      </c>
    </row>
    <row r="20" spans="1:2" x14ac:dyDescent="0.25">
      <c r="A20" t="s">
        <v>62</v>
      </c>
      <c r="B20" s="18">
        <f>Forecast!B17+B19</f>
        <v>12002693192.932089</v>
      </c>
    </row>
    <row r="21" spans="1:2" x14ac:dyDescent="0.25">
      <c r="A21" t="s">
        <v>63</v>
      </c>
      <c r="B21" s="18">
        <f>-Assumptions!B30</f>
        <v>-27944000</v>
      </c>
    </row>
    <row r="22" spans="1:2" x14ac:dyDescent="0.25">
      <c r="A22" t="s">
        <v>64</v>
      </c>
      <c r="B22" s="18">
        <f>B20+B21</f>
        <v>11974749192.932089</v>
      </c>
    </row>
    <row r="23" spans="1:2" x14ac:dyDescent="0.25">
      <c r="A23" s="19" t="s">
        <v>65</v>
      </c>
      <c r="B23" s="25">
        <f>B22/Assumptions!B31</f>
        <v>166.21669271035478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154.85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140.4496809153176</v>
      </c>
    </row>
    <row r="29" spans="1:2" x14ac:dyDescent="0.25">
      <c r="A29" s="19" t="s">
        <v>73</v>
      </c>
      <c r="B29" s="12">
        <f>B28/B26-1</f>
        <v>-0.09299527984941813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0.06879</v>
      </c>
      <c r="B5" s="31">
        <v>181.35429299140068</v>
      </c>
      <c r="C5" s="31">
        <v>193.5073388161347</v>
      </c>
      <c r="D5" s="31">
        <v>208.38697384443333</v>
      </c>
      <c r="E5" s="31">
        <v>227.04756358424905</v>
      </c>
      <c r="F5" s="31">
        <v>251.16754309544424</v>
      </c>
    </row>
    <row r="6" spans="1:6" x14ac:dyDescent="0.25">
      <c r="A6" s="30">
        <v>0.07879</v>
      </c>
      <c r="B6" s="31">
        <v>151.25534026003572</v>
      </c>
      <c r="C6" s="31">
        <v>158.9589817901983</v>
      </c>
      <c r="D6" s="31">
        <v>168.05676434173972</v>
      </c>
      <c r="E6" s="31">
        <v>178.97730269885125</v>
      </c>
      <c r="F6" s="31">
        <v>192.3449708529361</v>
      </c>
    </row>
    <row r="7" spans="1:6" x14ac:dyDescent="0.25">
      <c r="A7" s="30">
        <v>0.08879</v>
      </c>
      <c r="B7" s="31">
        <v>129.39531887891133</v>
      </c>
      <c r="C7" s="31">
        <v>134.5349722981737</v>
      </c>
      <c r="D7" s="32">
        <v>140.44957727581556</v>
      </c>
      <c r="E7" s="31">
        <v>147.3368591626736</v>
      </c>
      <c r="F7" s="31">
        <v>155.46806082244456</v>
      </c>
    </row>
    <row r="8" spans="1:6" x14ac:dyDescent="0.25">
      <c r="A8" s="30">
        <v>0.09879</v>
      </c>
      <c r="B8" s="31">
        <v>112.82028904947285</v>
      </c>
      <c r="C8" s="31">
        <v>116.37637087444318</v>
      </c>
      <c r="D8" s="31">
        <v>120.38884978591653</v>
      </c>
      <c r="E8" s="31">
        <v>124.95724542770098</v>
      </c>
      <c r="F8" s="31">
        <v>130.2122797147465</v>
      </c>
    </row>
    <row r="9" spans="1:6" x14ac:dyDescent="0.25">
      <c r="A9" s="30">
        <v>0.10879</v>
      </c>
      <c r="B9" s="31">
        <v>99.83636064994113</v>
      </c>
      <c r="C9" s="31">
        <v>102.36292787867087</v>
      </c>
      <c r="D9" s="31">
        <v>105.16945250269295</v>
      </c>
      <c r="E9" s="31">
        <v>108.30923266808414</v>
      </c>
      <c r="F9" s="31">
        <v>111.85001242038632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2544339000</v>
      </c>
      <c r="C5" s="18">
        <v>2375288000</v>
      </c>
      <c r="D5" s="18">
        <v>2215543000</v>
      </c>
      <c r="E5" s="18">
        <v>2077702000</v>
      </c>
      <c r="F5" s="8" t="s">
        <v>84</v>
      </c>
    </row>
    <row r="6" spans="1:6" x14ac:dyDescent="0.25">
      <c r="A6" t="s">
        <v>44</v>
      </c>
      <c r="B6" s="18">
        <v>635033000</v>
      </c>
      <c r="C6" s="18">
        <v>568715000</v>
      </c>
      <c r="D6" s="18">
        <v>489391000</v>
      </c>
      <c r="E6" s="18">
        <v>480688000</v>
      </c>
      <c r="F6" s="8" t="s">
        <v>85</v>
      </c>
    </row>
    <row r="7" spans="1:6" x14ac:dyDescent="0.25">
      <c r="A7" t="s">
        <v>86</v>
      </c>
      <c r="B7" s="18">
        <v>213241000</v>
      </c>
      <c r="C7" s="18">
        <v>204751000</v>
      </c>
      <c r="D7" s="18">
        <v>199904000</v>
      </c>
      <c r="E7" s="18">
        <v>190726000</v>
      </c>
      <c r="F7" s="8" t="s">
        <v>87</v>
      </c>
    </row>
    <row r="8" spans="1:6" x14ac:dyDescent="0.25">
      <c r="A8" t="s">
        <v>88</v>
      </c>
      <c r="B8" s="18">
        <v>255454000</v>
      </c>
      <c r="C8" s="18">
        <v>231166000</v>
      </c>
      <c r="D8" s="18">
        <v>232423000</v>
      </c>
      <c r="E8" s="18">
        <v>206984000</v>
      </c>
      <c r="F8" s="8" t="s">
        <v>89</v>
      </c>
    </row>
    <row r="9" spans="1:6" x14ac:dyDescent="0.25">
      <c r="A9" t="s">
        <v>90</v>
      </c>
      <c r="B9" s="18">
        <v>115112000</v>
      </c>
      <c r="C9" s="18">
        <v>45857000</v>
      </c>
      <c r="D9" s="18">
        <v>45484000</v>
      </c>
      <c r="E9" s="18">
        <v>151708000</v>
      </c>
      <c r="F9" s="8" t="s">
        <v>91</v>
      </c>
    </row>
    <row r="10" spans="1:6" x14ac:dyDescent="0.25">
      <c r="A10" t="s">
        <v>92</v>
      </c>
      <c r="B10" s="18">
        <v>40000000</v>
      </c>
      <c r="C10" s="18">
        <v>0</v>
      </c>
      <c r="D10" s="18">
        <v>150000000</v>
      </c>
      <c r="E10" s="18">
        <v>275000000</v>
      </c>
      <c r="F10" s="8" t="s">
        <v>93</v>
      </c>
    </row>
    <row r="11" spans="1:6" x14ac:dyDescent="0.25">
      <c r="A11" t="s">
        <v>94</v>
      </c>
      <c r="B11" s="18">
        <v>12056000</v>
      </c>
      <c r="C11" s="18">
        <v>101953000</v>
      </c>
      <c r="D11" s="18">
        <v>38284000</v>
      </c>
      <c r="E11" s="18">
        <v>12243000</v>
      </c>
      <c r="F11" s="8" t="s">
        <v>95</v>
      </c>
    </row>
    <row r="12" spans="1:6" x14ac:dyDescent="0.25">
      <c r="A12" t="s">
        <v>32</v>
      </c>
      <c r="B12" s="34">
        <v>72043000</v>
      </c>
      <c r="C12" s="34">
        <v>73045000</v>
      </c>
      <c r="D12" s="34">
        <v>73025000</v>
      </c>
      <c r="E12" s="34">
        <v>73096000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2026-09-19T00:08:39Z</dcterms:modified>
</cp:coreProperties>
</file>