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<sst xmlns="http://schemas.openxmlformats.org/spreadsheetml/2006/main" count="119" uniqueCount="106">
  <si>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Jack Henry &amp; Associates, Inc. (JKHY)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</si>
  <si>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</si>
  <si>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</si>
  <si>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</si>
  <si>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</si>
  <si>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</si>
  <si>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</si>
  <si>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</si>
  <si>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</si>
  <si>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</si>
  <si>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</si>
  <si>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</si>
  <si>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</si>
  <si>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</si>
  <si>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</si>
  <si>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</si>
  <si>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</si>
  <si>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</si>
  <si>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</si>
  <si>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</si>
  <si>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</si>
  <si>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</si>
  <si>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</si>
  <si>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</si>
  <si>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Implied cost of debt of 26.9% is not a credible funding cost, so risk-free + 200bp is assumed instead. Interest expense and reported debt are measuring different things - common for banks, whose interest expense includes deposits that total debt excludes.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</si>
  <si>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</si>
  <si>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</si>
  <si>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</si>
  <si>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</si>
  <si>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</si>
  <si>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</si>
  <si>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</si>
  <si>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2026-06-30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</si>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</sst>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0.05830474241050432</v>
      </c>
    </row>
    <row r="7" spans="1:2" x14ac:dyDescent="0.25">
      <c r="A7" t="s">
        <v>4</v>
      </c>
      <c r="B7" s="5">
        <v>0.23531550394080367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0.08800876945644728</v>
      </c>
    </row>
    <row r="10" spans="1:3" x14ac:dyDescent="0.25">
      <c r="A10" t="s">
        <v>7</v>
      </c>
      <c r="B10" s="5">
        <v>0.10056236032422974</v>
      </c>
      <c r="C10" s="6" t="s">
        <v>8</v>
      </c>
    </row>
    <row r="11" spans="1:2" x14ac:dyDescent="0.25">
      <c r="A11" t="s">
        <v>9</v>
      </c>
      <c r="B11" s="5">
        <v>0.13410347960179997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13.36810270266447</v>
      </c>
    </row>
    <row r="14" spans="1:3" x14ac:dyDescent="0.25">
      <c r="A14" t="s">
        <v>12</v>
      </c>
      <c r="B14" s="5">
        <v>0.20623215468161799</v>
      </c>
      <c r="C14" s="6" t="s">
        <v>13</v>
      </c>
    </row>
    <row r="15" spans="1:3" x14ac:dyDescent="0.25">
      <c r="A15" t="s">
        <v>14</v>
      </c>
      <c r="B15" s="5">
        <v>0.019827809344122184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0.7072099999999999</v>
      </c>
      <c r="C19" s="6" t="s">
        <v>21</v>
      </c>
    </row>
    <row r="20" spans="1:2" x14ac:dyDescent="0.25">
      <c r="A20" t="s">
        <v>22</v>
      </c>
      <c r="B20" s="9">
        <f>B17+B19*B18</f>
        <v>0.07885498299999999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11311869952</v>
      </c>
    </row>
    <row r="23" spans="1:2" x14ac:dyDescent="0.25">
      <c r="A23" t="s">
        <v>26</v>
      </c>
      <c r="B23" s="10">
        <v>40000000</v>
      </c>
    </row>
    <row r="24" spans="1:2" x14ac:dyDescent="0.25">
      <c r="A24" t="s">
        <v>27</v>
      </c>
      <c r="B24" s="9">
        <f>B22/(B22+B23)</f>
        <v>0.9964763514584702</v>
      </c>
    </row>
    <row r="25" spans="1:2" x14ac:dyDescent="0.25">
      <c r="A25" t="s">
        <v>28</v>
      </c>
      <c r="B25" s="9">
        <f>1-B24</f>
        <v>0.003523648541529756</v>
      </c>
    </row>
    <row r="26" spans="1:2" x14ac:dyDescent="0.25">
      <c r="A26" t="s">
        <v>29</v>
      </c>
      <c r="B26" s="11">
        <f>B24*B20+B25*B21*(1-B8)</f>
        <v>0.0787690328152176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2544339000</v>
      </c>
      <c r="C29" s="6" t="s">
        <v>32</v>
      </c>
    </row>
    <row r="30" spans="1:2" x14ac:dyDescent="0.25">
      <c r="A30" t="s">
        <v>33</v>
      </c>
      <c r="B30" s="10">
        <v>27944000</v>
      </c>
    </row>
    <row r="31" spans="1:2" x14ac:dyDescent="0.25">
      <c r="A31" t="s">
        <v>34</v>
      </c>
      <c r="B31" s="12">
        <v>72043000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0.05830474241050432</v>
      </c>
      <c r="C5" s="5">
        <v>0.07027462091449266</v>
      </c>
      <c r="D5" s="5">
        <v>0.06461529330018108</v>
      </c>
      <c r="E5" s="5">
        <v>0.05895596568586949</v>
      </c>
      <c r="F5" s="5">
        <v>0.05329663807155791</v>
      </c>
      <c r="G5" s="5">
        <v>0.047637310457246326</v>
      </c>
      <c r="H5" s="5">
        <v>0.04197798284293475</v>
      </c>
      <c r="I5" s="5">
        <v>0.03631865522862317</v>
      </c>
      <c r="J5" s="5">
        <v>0.03065932761431158</v>
      </c>
      <c r="K5" s="5">
        <v>0.025</v>
      </c>
    </row>
    <row r="6" spans="1:11" x14ac:dyDescent="0.25">
      <c r="A6" t="s">
        <v>50</v>
      </c>
      <c r="B6" s="18">
        <f>Assumptions!B29*(1+B5)</f>
        <v>2692686030</v>
      </c>
      <c r="C6" s="18">
        <f>B6*(1+C5)</f>
        <v>2881913520</v>
      </c>
      <c r="D6" s="18">
        <f>C6*(1+D5)</f>
        <v>3068129207.3605576</v>
      </c>
      <c r="E6" s="18">
        <f>D6*(1+E5)</f>
        <v>3249013727.629521</v>
      </c>
      <c r="F6" s="18">
        <f>E6*(1+F5)</f>
        <v>3422175236.3605146</v>
      </c>
      <c r="G6" s="18">
        <f>F6*(1+G5)</f>
        <v>3585198460.5341206</v>
      </c>
      <c r="H6" s="18">
        <f>G6*(1+H5)</f>
        <v>3735697859.998938</v>
      </c>
      <c r="I6" s="18">
        <f>H6*(1+I5)</f>
        <v>3871373382.614545</v>
      </c>
      <c r="J6" s="18">
        <f>I6*(1+J5)</f>
        <v>3990067087.46945</v>
      </c>
      <c r="K6" s="18">
        <f>J6*(1+K5)</f>
        <v>4089818764.656186</v>
      </c>
    </row>
    <row r="7" spans="1:11" x14ac:dyDescent="0.25">
      <c r="A7" t="s">
        <v>4</v>
      </c>
      <c r="B7" s="9">
        <f>Assumptions!B7</f>
        <v>0.23531550394080367</v>
      </c>
      <c r="C7" s="9">
        <f>Assumptions!B7</f>
        <v>0.23531550394080367</v>
      </c>
      <c r="D7" s="9">
        <f>Assumptions!B7</f>
        <v>0.23531550394080367</v>
      </c>
      <c r="E7" s="9">
        <f>Assumptions!B7</f>
        <v>0.23531550394080367</v>
      </c>
      <c r="F7" s="9">
        <f>Assumptions!B7</f>
        <v>0.23531550394080367</v>
      </c>
      <c r="G7" s="9">
        <f>Assumptions!B7</f>
        <v>0.23531550394080367</v>
      </c>
      <c r="H7" s="9">
        <f>Assumptions!B7</f>
        <v>0.23531550394080367</v>
      </c>
      <c r="I7" s="9">
        <f>Assumptions!B7</f>
        <v>0.23531550394080367</v>
      </c>
      <c r="J7" s="9">
        <f>Assumptions!B7</f>
        <v>0.23531550394080367</v>
      </c>
      <c r="K7" s="9">
        <f>Assumptions!B7</f>
        <v>0.23531550394080367</v>
      </c>
    </row>
    <row r="8" spans="1:11" x14ac:dyDescent="0.25">
      <c r="A8" t="s">
        <v>51</v>
      </c>
      <c r="B8" s="18">
        <f>B6*B7</f>
        <v>633630770.103812</v>
      </c>
      <c r="C8" s="18">
        <f>C6*C7</f>
        <v>678158932.2726153</v>
      </c>
      <c r="D8" s="18">
        <f>D6*D7</f>
        <v>721978370.5855482</v>
      </c>
      <c r="E8" s="18">
        <f>E6*E7</f>
        <v>764543302.6277298</v>
      </c>
      <c r="F8" s="18">
        <f>F6*F7</f>
        <v>805290890.3179134</v>
      </c>
      <c r="G8" s="18">
        <f>G6*G7</f>
        <v>843652782.4683801</v>
      </c>
      <c r="H8" s="18">
        <f>H6*H7</f>
        <v>879067624.4962319</v>
      </c>
      <c r="I8" s="18">
        <f>I6*I7</f>
        <v>910994178.4729553</v>
      </c>
      <c r="J8" s="18">
        <f>J6*J7</f>
        <v>938924647.4454883</v>
      </c>
      <c r="K8" s="18">
        <f>K6*K7</f>
        <v>962397763.6316255</v>
      </c>
    </row>
    <row r="9" spans="1:11" x14ac:dyDescent="0.25">
      <c r="A9" t="s">
        <v>52</v>
      </c>
      <c r="B9" s="18">
        <f>B8*(1-Assumptions!B8)</f>
        <v>500568308.3820115</v>
      </c>
      <c r="C9" s="18">
        <f>C8*(1-Assumptions!B8)</f>
        <v>535745556.4953661</v>
      </c>
      <c r="D9" s="18">
        <f>D8*(1-Assumptions!B8)</f>
        <v>570362912.762583</v>
      </c>
      <c r="E9" s="18">
        <f>E8*(1-Assumptions!B8)</f>
        <v>603989209.0759065</v>
      </c>
      <c r="F9" s="18">
        <f>F8*(1-Assumptions!B8)</f>
        <v>636179803.3511516</v>
      </c>
      <c r="G9" s="18">
        <f>G8*(1-Assumptions!B8)</f>
        <v>666485698.1500204</v>
      </c>
      <c r="H9" s="18">
        <f>H8*(1-Assumptions!B8)</f>
        <v>694463423.3520232</v>
      </c>
      <c r="I9" s="18">
        <f>I8*(1-Assumptions!B8)</f>
        <v>719685400.9936347</v>
      </c>
      <c r="J9" s="18">
        <f>J8*(1-Assumptions!B8)</f>
        <v>741750471.4819359</v>
      </c>
      <c r="K9" s="18">
        <f>K8*(1-Assumptions!B8)</f>
        <v>760294233.2689842</v>
      </c>
    </row>
    <row r="10" spans="1:11" x14ac:dyDescent="0.25">
      <c r="A10" t="s">
        <v>53</v>
      </c>
      <c r="B10" s="18">
        <f>B6*Assumptions!B9</f>
        <v>236979984.0328663</v>
      </c>
      <c r="C10" s="18">
        <f>C6*Assumptions!B9</f>
        <v>253633662.57509848</v>
      </c>
      <c r="D10" s="18">
        <f>D6*Assumptions!B9</f>
        <v>270022276.07318765</v>
      </c>
      <c r="E10" s="18">
        <f>E6*Assumptions!B9</f>
        <v>285941700.1157789</v>
      </c>
      <c r="F10" s="18">
        <f>F6*Assumptions!B9</f>
        <v>301181431.4164155</v>
      </c>
      <c r="G10" s="18">
        <f>G6*Assumptions!B9</f>
        <v>315528904.7687571</v>
      </c>
      <c r="H10" s="18">
        <f>H6*Assumptions!B9</f>
        <v>328774171.71959</v>
      </c>
      <c r="I10" s="18">
        <f>I6*Assumptions!B9</f>
        <v>340714807.5103499</v>
      </c>
      <c r="J10" s="18">
        <f>J6*Assumptions!B9</f>
        <v>351160894.4168569</v>
      </c>
      <c r="K10" s="18">
        <f>K6*Assumptions!B9</f>
        <v>359939916.7772783</v>
      </c>
    </row>
    <row r="11" spans="1:11" x14ac:dyDescent="0.25">
      <c r="A11" t="s">
        <v>54</v>
      </c>
      <c r="B11" s="18">
        <f>-B6*B19</f>
        <v>-270782862.7888797</v>
      </c>
      <c r="C11" s="18">
        <f>-C6*C19</f>
        <v>-273266655.91482323</v>
      </c>
      <c r="D11" s="18">
        <f>-D6*D19</f>
        <v>-273309407.1999527</v>
      </c>
      <c r="E11" s="18">
        <f>-E6*E19</f>
        <v>-270769696.2605634</v>
      </c>
      <c r="F11" s="18">
        <f>-F6*F19</f>
        <v>-265553741.2800303</v>
      </c>
      <c r="G11" s="18">
        <f>-G6*G19</f>
        <v>-257621004.26506144</v>
      </c>
      <c r="H11" s="18">
        <f>-H6*H19</f>
        <v>-246988378.38256237</v>
      </c>
      <c r="I11" s="18">
        <f>-I6*I19</f>
        <v>-233732700.6575819</v>
      </c>
      <c r="J11" s="18">
        <f>-J6*J19</f>
        <v>-217991391.52025878</v>
      </c>
      <c r="K11" s="18">
        <f>-K6*K19</f>
        <v>-199961094.8127795</v>
      </c>
    </row>
    <row r="12" spans="1:11" x14ac:dyDescent="0.25">
      <c r="A12" t="s">
        <v>55</v>
      </c>
      <c r="B12" s="18">
        <f>-(B6-Assumptions!B29)*Assumptions!B11</f>
        <v>-19893852.911592606</v>
      </c>
      <c r="C12" s="18">
        <f>-(C6-B6)*Assumptions!B11</f>
        <v>-25376064.84531481</v>
      </c>
      <c r="D12" s="18">
        <f>-(D6-C6)*Assumptions!B11</f>
        <v>-24972171.63149169</v>
      </c>
      <c r="E12" s="18">
        <f>-(E6-D6)*Assumptions!B11</f>
        <v>-24257243.5741703</v>
      </c>
      <c r="F12" s="18">
        <f>-(F6-E6)*Assumptions!B11</f>
        <v>-23221560.853923727</v>
      </c>
      <c r="G12" s="18">
        <f>-(G6-F6)*Assumptions!B11</f>
        <v>-21861981.617584825</v>
      </c>
      <c r="H12" s="18">
        <f>-(H6-G6)*Assumptions!B11</f>
        <v>-20182493.1462133</v>
      </c>
      <c r="I12" s="18">
        <f>-(I6-H6)*Assumptions!B11</f>
        <v>-18194559.679545574</v>
      </c>
      <c r="J12" s="18">
        <f>-(J6-I6)*Assumptions!B11</f>
        <v>-15917238.827871837</v>
      </c>
      <c r="K12" s="18">
        <f>-(K6-J6)*Assumptions!B11</f>
        <v>-13377047.006856801</v>
      </c>
    </row>
    <row r="13" spans="1:11" x14ac:dyDescent="0.25">
      <c r="A13" s="19" t="s">
        <v>56</v>
      </c>
      <c r="B13" s="20">
        <f>B9+B10+B11+B12</f>
        <v>446871576.7144055</v>
      </c>
      <c r="C13" s="20">
        <f>C9+C10+C11+C12</f>
        <v>490736498.3103266</v>
      </c>
      <c r="D13" s="20">
        <f>D9+D10+D11+D12</f>
        <v>542103610.0043262</v>
      </c>
      <c r="E13" s="20">
        <f>E9+E10+E11+E12</f>
        <v>594903969.3569517</v>
      </c>
      <c r="F13" s="20">
        <f>F9+F10+F11+F12</f>
        <v>648585932.6336132</v>
      </c>
      <c r="G13" s="20">
        <f>G9+G10+G11+G12</f>
        <v>702531617.0361313</v>
      </c>
      <c r="H13" s="20">
        <f>H9+H10+H11+H12</f>
        <v>756066723.5428376</v>
      </c>
      <c r="I13" s="20">
        <f>I9+I10+I11+I12</f>
        <v>808472948.1668572</v>
      </c>
      <c r="J13" s="20">
        <f>J9+J10+J11+J12</f>
        <v>859002735.5506622</v>
      </c>
      <c r="K13" s="20">
        <f>K9+K10+K11+K12</f>
        <v>906896008.2266263</v>
      </c>
    </row>
    <row r="14" spans="1:11" x14ac:dyDescent="0.25">
      <c r="A14" t="s">
        <v>57</v>
      </c>
      <c r="B14" s="21">
        <f>1/(1+Assumptions!$B$26)^(1-0.5*Assumptions!$B$32)</f>
        <v>0.9627992969102278</v>
      </c>
      <c r="C14" s="21">
        <f>1/(1+Assumptions!$B$26)^(2-0.5*Assumptions!$B$32)</f>
        <v>0.8924980858948569</v>
      </c>
      <c r="D14" s="21">
        <f>1/(1+Assumptions!$B$26)^(3-0.5*Assumptions!$B$32)</f>
        <v>0.8273300945298204</v>
      </c>
      <c r="E14" s="21">
        <f>1/(1+Assumptions!$B$26)^(4-0.5*Assumptions!$B$32)</f>
        <v>0.7669205078781065</v>
      </c>
      <c r="F14" s="21">
        <f>1/(1+Assumptions!$B$26)^(5-0.5*Assumptions!$B$32)</f>
        <v>0.7109218790575651</v>
      </c>
      <c r="G14" s="21">
        <f>1/(1+Assumptions!$B$26)^(6-0.5*Assumptions!$B$32)</f>
        <v>0.6590121308935821</v>
      </c>
      <c r="H14" s="21">
        <f>1/(1+Assumptions!$B$26)^(7-0.5*Assumptions!$B$32)</f>
        <v>0.6108927034861079</v>
      </c>
      <c r="I14" s="21">
        <f>1/(1+Assumptions!$B$26)^(8-0.5*Assumptions!$B$32)</f>
        <v>0.5662868370367355</v>
      </c>
      <c r="J14" s="21">
        <f>1/(1+Assumptions!$B$26)^(9-0.5*Assumptions!$B$32)</f>
        <v>0.5249379800594767</v>
      </c>
      <c r="K14" s="21">
        <f>1/(1+Assumptions!$B$26)^(10-0.5*Assumptions!$B$32)</f>
        <v>0.48660831382002917</v>
      </c>
    </row>
    <row r="15" spans="1:11" x14ac:dyDescent="0.25">
      <c r="A15" s="19" t="s">
        <v>58</v>
      </c>
      <c r="B15" s="20">
        <f>B13*B14</f>
        <v>430247639.86979455</v>
      </c>
      <c r="C15" s="20">
        <f>C13*C14</f>
        <v>437981385.42071116</v>
      </c>
      <c r="D15" s="20">
        <f>D13*D14</f>
        <v>448498630.9098361</v>
      </c>
      <c r="E15" s="20">
        <f>E13*E14</f>
        <v>456244054.31793493</v>
      </c>
      <c r="F15" s="20">
        <f>F13*F14</f>
        <v>461093929.95819163</v>
      </c>
      <c r="G15" s="20">
        <f>G13*G14</f>
        <v>462976857.96309483</v>
      </c>
      <c r="H15" s="20">
        <f>H13*H14</f>
        <v>461875644.76096785</v>
      </c>
      <c r="I15" s="20">
        <f>I13*I14</f>
        <v>457827588.64717424</v>
      </c>
      <c r="J15" s="20">
        <f>J13*J14</f>
        <v>450923160.8655294</v>
      </c>
      <c r="K15" s="20">
        <f>K13*K14</f>
        <v>441303137.3732739</v>
      </c>
    </row>
    <row r="17" spans="1:2" x14ac:dyDescent="0.25">
      <c r="A17" s="22" t="s">
        <v>59</v>
      </c>
      <c r="B17" s="23">
        <f>SUM(B15:K15)</f>
        <v>4508972030.086509</v>
      </c>
    </row>
    <row r="19" spans="1:11" x14ac:dyDescent="0.25">
      <c r="A19" t="s">
        <v>7</v>
      </c>
      <c r="B19" s="9">
        <f>Assumptions!$B$10+($B$20-Assumptions!$B$10)*0/9</f>
        <v>0.10056236032422974</v>
      </c>
      <c r="C19" s="9">
        <f>Assumptions!$B$10+($B$20-Assumptions!$B$10)*1/9</f>
        <v>0.09482125470400071</v>
      </c>
      <c r="D19" s="9">
        <f>Assumptions!$B$10+($B$20-Assumptions!$B$10)*2/9</f>
        <v>0.08908014908377168</v>
      </c>
      <c r="E19" s="9">
        <f>Assumptions!$B$10+($B$20-Assumptions!$B$10)*3/9</f>
        <v>0.08333904346354265</v>
      </c>
      <c r="F19" s="9">
        <f>Assumptions!$B$10+($B$20-Assumptions!$B$10)*4/9</f>
        <v>0.07759793784331362</v>
      </c>
      <c r="G19" s="9">
        <f>Assumptions!$B$10+($B$20-Assumptions!$B$10)*5/9</f>
        <v>0.07185683222308459</v>
      </c>
      <c r="H19" s="9">
        <f>Assumptions!$B$10+($B$20-Assumptions!$B$10)*6/9</f>
        <v>0.06611572660285556</v>
      </c>
      <c r="I19" s="9">
        <f>Assumptions!$B$10+($B$20-Assumptions!$B$10)*7/9</f>
        <v>0.06037462098262652</v>
      </c>
      <c r="J19" s="9">
        <f>Assumptions!$B$10+($B$20-Assumptions!$B$10)*8/9</f>
        <v>0.05463351536239749</v>
      </c>
      <c r="K19" s="9">
        <f>Assumptions!$B$10+($B$20-Assumptions!$B$10)*9/9</f>
        <v>0.048892409742168456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0.048892409742168456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906896008.2266263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980583971.6161172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0.121222609726379</v>
      </c>
    </row>
    <row r="7" spans="1:2" x14ac:dyDescent="0.25">
      <c r="A7" t="s">
        <v>66</v>
      </c>
      <c r="B7" s="18">
        <f>-MAX(B5,0)*B6</f>
        <v>-118868948.09516327</v>
      </c>
    </row>
    <row r="8" spans="1:2" x14ac:dyDescent="0.25">
      <c r="A8" t="s">
        <v>67</v>
      </c>
      <c r="B8" s="18">
        <f>IF(OR(Assumptions!$B$33=0,Assumptions!B12&lt;=0),B5,MAX(B5+B7,0))</f>
        <v>861715023.520954</v>
      </c>
    </row>
    <row r="9" spans="1:2" x14ac:dyDescent="0.25">
      <c r="A9" t="s">
        <v>68</v>
      </c>
      <c r="B9" s="18">
        <f>B8*(1+Assumptions!B12)/(Assumptions!B26-Assumptions!B12)</f>
        <v>16426888356.805256</v>
      </c>
    </row>
    <row r="10" spans="1:2" x14ac:dyDescent="0.25">
      <c r="A10" t="s">
        <v>69</v>
      </c>
      <c r="B10" s="18">
        <f>B9/(1+Assumptions!B26)^(10-0.5*Assumptions!B32)</f>
        <v>7993460444.614875</v>
      </c>
    </row>
    <row r="11" spans="1:2" x14ac:dyDescent="0.25">
      <c r="A11" t="s">
        <v>70</v>
      </c>
      <c r="B11" s="18">
        <f>Forecast!B17+B10</f>
        <v>12502432474.701384</v>
      </c>
    </row>
    <row r="12" spans="1:2" x14ac:dyDescent="0.25">
      <c r="A12" t="s">
        <v>71</v>
      </c>
      <c r="B12" s="18">
        <f>-Assumptions!B30</f>
        <v>-27944000</v>
      </c>
    </row>
    <row r="13" spans="1:2" x14ac:dyDescent="0.25">
      <c r="A13" t="s">
        <v>72</v>
      </c>
      <c r="B13" s="18">
        <f>B11+B12</f>
        <v>12474488474.701384</v>
      </c>
    </row>
    <row r="14" spans="1:2" x14ac:dyDescent="0.25">
      <c r="A14" s="19" t="s">
        <v>73</v>
      </c>
      <c r="B14" s="24">
        <f>B13/Assumptions!B31</f>
        <v>173.15337332844805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1322337680.4089038</v>
      </c>
    </row>
    <row r="18" spans="1:2" x14ac:dyDescent="0.25">
      <c r="A18" t="s">
        <v>68</v>
      </c>
      <c r="B18" s="18">
        <f>B17*Assumptions!B13</f>
        <v>17677145919.309334</v>
      </c>
    </row>
    <row r="19" spans="1:2" x14ac:dyDescent="0.25">
      <c r="A19" t="s">
        <v>69</v>
      </c>
      <c r="B19" s="18">
        <f>B18/(1+Assumptions!B26)^(10-0.5*Assumptions!B32)</f>
        <v>8601846168.945724</v>
      </c>
    </row>
    <row r="20" spans="1:2" x14ac:dyDescent="0.25">
      <c r="A20" t="s">
        <v>70</v>
      </c>
      <c r="B20" s="18">
        <f>Forecast!B17+B19</f>
        <v>13110818199.032234</v>
      </c>
    </row>
    <row r="21" spans="1:2" x14ac:dyDescent="0.25">
      <c r="A21" t="s">
        <v>71</v>
      </c>
      <c r="B21" s="18">
        <f>-Assumptions!B30</f>
        <v>-27944000</v>
      </c>
    </row>
    <row r="22" spans="1:2" x14ac:dyDescent="0.25">
      <c r="A22" t="s">
        <v>72</v>
      </c>
      <c r="B22" s="18">
        <f>B20+B21</f>
        <v>13082874199.032234</v>
      </c>
    </row>
    <row r="23" spans="1:2" x14ac:dyDescent="0.25">
      <c r="A23" s="19" t="s">
        <v>73</v>
      </c>
      <c r="B23" s="25">
        <f>B22/Assumptions!B31</f>
        <v>181.59813165792977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161.34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173.15337332844805</v>
      </c>
    </row>
    <row r="29" spans="1:2" x14ac:dyDescent="0.25">
      <c r="A29" s="19" t="s">
        <v>81</v>
      </c>
      <c r="B29" s="11">
        <f>B28/B26-1</f>
        <v>0.07322036276464639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0.058769</v>
      </c>
      <c r="B5" s="31">
        <v>240.64427275084677</v>
      </c>
      <c r="C5" s="31">
        <v>257.4652796580311</v>
      </c>
      <c r="D5" s="31">
        <v>279.5127796319367</v>
      </c>
      <c r="E5" s="31">
        <v>309.51183770787327</v>
      </c>
      <c r="F5" s="31">
        <v>352.4804761640376</v>
      </c>
    </row>
    <row r="6" spans="1:6" x14ac:dyDescent="0.25">
      <c r="A6" s="30">
        <v>0.068769</v>
      </c>
      <c r="B6" s="31">
        <v>193.79700775687277</v>
      </c>
      <c r="C6" s="31">
        <v>202.84368171560658</v>
      </c>
      <c r="D6" s="31">
        <v>214.1359835259773</v>
      </c>
      <c r="E6" s="31">
        <v>228.54276246897118</v>
      </c>
      <c r="F6" s="31">
        <v>247.44745178185738</v>
      </c>
    </row>
    <row r="7" spans="1:6" x14ac:dyDescent="0.25">
      <c r="A7" s="30">
        <v>0.078769</v>
      </c>
      <c r="B7" s="31">
        <v>161.75293043685585</v>
      </c>
      <c r="C7" s="31">
        <v>166.90533401803725</v>
      </c>
      <c r="D7" s="32">
        <v>173.1534826805829</v>
      </c>
      <c r="E7" s="31">
        <v>180.83439740545347</v>
      </c>
      <c r="F7" s="31">
        <v>190.43909902782616</v>
      </c>
    </row>
    <row r="8" spans="1:6" x14ac:dyDescent="0.25">
      <c r="A8" s="30">
        <v>0.088769</v>
      </c>
      <c r="B8" s="31">
        <v>138.48588256604063</v>
      </c>
      <c r="C8" s="31">
        <v>141.49493608903472</v>
      </c>
      <c r="D8" s="31">
        <v>145.08552778209443</v>
      </c>
      <c r="E8" s="31">
        <v>149.40608747303673</v>
      </c>
      <c r="F8" s="31">
        <v>154.66025517689354</v>
      </c>
    </row>
    <row r="9" spans="1:6" x14ac:dyDescent="0.25">
      <c r="A9" s="30">
        <v>0.098769</v>
      </c>
      <c r="B9" s="31">
        <v>120.84759451623826</v>
      </c>
      <c r="C9" s="31">
        <v>122.59883570033682</v>
      </c>
      <c r="D9" s="31">
        <v>124.6772286504997</v>
      </c>
      <c r="E9" s="31">
        <v>127.154132212878</v>
      </c>
      <c r="F9" s="31">
        <v>130.1232856523689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2544339000</v>
      </c>
      <c r="C5" s="18">
        <v>2375288000</v>
      </c>
      <c r="D5" s="18">
        <v>2215543000</v>
      </c>
      <c r="E5" s="18">
        <v>2077702000</v>
      </c>
      <c r="F5" s="6" t="s">
        <v>91</v>
      </c>
    </row>
    <row r="6" spans="1:6" x14ac:dyDescent="0.25">
      <c r="A6" t="s">
        <v>51</v>
      </c>
      <c r="B6" s="18">
        <v>635033000</v>
      </c>
      <c r="C6" s="18">
        <v>568715000</v>
      </c>
      <c r="D6" s="18">
        <v>489391000</v>
      </c>
      <c r="E6" s="18">
        <v>480688000</v>
      </c>
      <c r="F6" s="6" t="s">
        <v>92</v>
      </c>
    </row>
    <row r="7" spans="1:6" x14ac:dyDescent="0.25">
      <c r="A7" t="s">
        <v>93</v>
      </c>
      <c r="B7" s="18">
        <v>213241000</v>
      </c>
      <c r="C7" s="18">
        <v>204751000</v>
      </c>
      <c r="D7" s="18">
        <v>199904000</v>
      </c>
      <c r="E7" s="18">
        <v>190726000</v>
      </c>
      <c r="F7" s="6" t="s">
        <v>94</v>
      </c>
    </row>
    <row r="8" spans="1:6" x14ac:dyDescent="0.25">
      <c r="A8" t="s">
        <v>95</v>
      </c>
      <c r="B8" s="18">
        <v>255454000</v>
      </c>
      <c r="C8" s="18">
        <v>231166000</v>
      </c>
      <c r="D8" s="18">
        <v>232423000</v>
      </c>
      <c r="E8" s="18">
        <v>206984000</v>
      </c>
      <c r="F8" s="6" t="s">
        <v>96</v>
      </c>
    </row>
    <row r="9" spans="1:6" x14ac:dyDescent="0.25">
      <c r="A9" t="s">
        <v>97</v>
      </c>
      <c r="B9" s="18">
        <v>115112000</v>
      </c>
      <c r="C9" s="18">
        <v>45857000</v>
      </c>
      <c r="D9" s="18">
        <v>45484000</v>
      </c>
      <c r="E9" s="18">
        <v>151708000</v>
      </c>
      <c r="F9" s="6" t="s">
        <v>98</v>
      </c>
    </row>
    <row r="10" spans="1:6" x14ac:dyDescent="0.25">
      <c r="A10" t="s">
        <v>99</v>
      </c>
      <c r="B10" s="18">
        <v>40000000</v>
      </c>
      <c r="C10" s="18">
        <v>0</v>
      </c>
      <c r="D10" s="18">
        <v>150000000</v>
      </c>
      <c r="E10" s="18">
        <v>275000000</v>
      </c>
      <c r="F10" s="6" t="s">
        <v>100</v>
      </c>
    </row>
    <row r="11" spans="1:6" x14ac:dyDescent="0.25">
      <c r="A11" t="s">
        <v>101</v>
      </c>
      <c r="B11" s="18">
        <v>12056000</v>
      </c>
      <c r="C11" s="18">
        <v>101953000</v>
      </c>
      <c r="D11" s="18">
        <v>38284000</v>
      </c>
      <c r="E11" s="18">
        <v>12243000</v>
      </c>
      <c r="F11" s="6" t="s">
        <v>102</v>
      </c>
    </row>
    <row r="12" spans="1:6" x14ac:dyDescent="0.25">
      <c r="A12" t="s">
        <v>34</v>
      </c>
      <c r="B12" s="34">
        <v>72043000</v>
      </c>
      <c r="C12" s="34">
        <v>73045000</v>
      </c>
      <c r="D12" s="34">
        <v>73025000</v>
      </c>
      <c r="E12" s="34">
        <v>73096000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