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<sst xmlns="http://schemas.openxmlformats.org/spreadsheetml/2006/main" count="112" uniqueCount="100">
  <si>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Johnson &amp; Johnson (JNJ)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</si>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</sst>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0.05599284954178807</v>
      </c>
    </row>
    <row r="7" spans="1:2" x14ac:dyDescent="0.25">
      <c r="A7" t="s">
        <v>5</v>
      </c>
      <c r="B7" s="6">
        <v>0.25802880146286566</v>
      </c>
    </row>
    <row r="8" spans="1:2" x14ac:dyDescent="0.25">
      <c r="A8" t="s">
        <v>6</v>
      </c>
      <c r="B8" s="6">
        <v>0.15573342378798719</v>
      </c>
    </row>
    <row r="9" spans="1:2" x14ac:dyDescent="0.25">
      <c r="A9" t="s">
        <v>7</v>
      </c>
      <c r="B9" s="6">
        <v>0.08433112525103562</v>
      </c>
    </row>
    <row r="10" spans="1:2" x14ac:dyDescent="0.25">
      <c r="A10" t="s">
        <v>8</v>
      </c>
      <c r="B10" s="6">
        <v>0.058563381137652575</v>
      </c>
    </row>
    <row r="11" spans="1:2" x14ac:dyDescent="0.25">
      <c r="A11" t="s">
        <v>9</v>
      </c>
      <c r="B11" s="6">
        <v>-0.4850067711356162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0.16640999979845156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0.48744999999999994</v>
      </c>
      <c r="C19" s="8" t="s">
        <v>19</v>
      </c>
    </row>
    <row r="20" spans="1:2" x14ac:dyDescent="0.25">
      <c r="A20" t="s">
        <v>20</v>
      </c>
      <c r="B20" s="10">
        <f>B17+B19*B18</f>
        <v>0.07678975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650648485888</v>
      </c>
    </row>
    <row r="23" spans="1:2" x14ac:dyDescent="0.25">
      <c r="A23" t="s">
        <v>24</v>
      </c>
      <c r="B23" s="11">
        <v>47933000000</v>
      </c>
    </row>
    <row r="24" spans="1:2" x14ac:dyDescent="0.25">
      <c r="A24" t="s">
        <v>25</v>
      </c>
      <c r="B24" s="10">
        <f>B22/(B22+B23)</f>
        <v>0.9313852414238117</v>
      </c>
    </row>
    <row r="25" spans="1:2" x14ac:dyDescent="0.25">
      <c r="A25" t="s">
        <v>26</v>
      </c>
      <c r="B25" s="10">
        <f>1-B24</f>
        <v>0.06861475857618826</v>
      </c>
    </row>
    <row r="26" spans="1:2" x14ac:dyDescent="0.25">
      <c r="A26" t="s">
        <v>27</v>
      </c>
      <c r="B26" s="12">
        <f>B24*B20+B25*B21*(1-B8)</f>
        <v>0.07441613862471476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94193000000</v>
      </c>
      <c r="C29" s="8" t="s">
        <v>30</v>
      </c>
    </row>
    <row r="30" spans="1:2" x14ac:dyDescent="0.25">
      <c r="A30" t="s">
        <v>31</v>
      </c>
      <c r="B30" s="11">
        <v>27831000000</v>
      </c>
    </row>
    <row r="31" spans="1:2" x14ac:dyDescent="0.25">
      <c r="A31" t="s">
        <v>32</v>
      </c>
      <c r="B31" s="13">
        <v>2429400000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0.05599284954178807</v>
      </c>
      <c r="C5" s="10">
        <f>Assumptions!B6</f>
        <v>0.05599284954178807</v>
      </c>
      <c r="D5" s="10">
        <f>Assumptions!B6</f>
        <v>0.05599284954178807</v>
      </c>
      <c r="E5" s="10">
        <f>Assumptions!B6</f>
        <v>0.05599284954178807</v>
      </c>
      <c r="F5" s="10">
        <f>Assumptions!B6</f>
        <v>0.05599284954178807</v>
      </c>
    </row>
    <row r="6" spans="1:6" x14ac:dyDescent="0.25">
      <c r="A6" t="s">
        <v>43</v>
      </c>
      <c r="B6" s="18">
        <f>Assumptions!B29*(1+B5)</f>
        <v>99467134476.88965</v>
      </c>
      <c r="C6" s="18">
        <f>B6*(1+C5)</f>
        <v>105036582772.00693</v>
      </c>
      <c r="D6" s="18">
        <f>C6*(1+D5)</f>
        <v>110917880347.54349</v>
      </c>
      <c r="E6" s="18">
        <f>D6*(1+E5)</f>
        <v>117128488533.33754</v>
      </c>
      <c r="F6" s="18">
        <f>E6*(1+F5)</f>
        <v>123686846368.84175</v>
      </c>
    </row>
    <row r="7" spans="1:6" x14ac:dyDescent="0.25">
      <c r="A7" t="s">
        <v>5</v>
      </c>
      <c r="B7" s="10">
        <f>Assumptions!B7</f>
        <v>0.25802880146286566</v>
      </c>
      <c r="C7" s="10">
        <f>Assumptions!B7</f>
        <v>0.25802880146286566</v>
      </c>
      <c r="D7" s="10">
        <f>Assumptions!B7</f>
        <v>0.25802880146286566</v>
      </c>
      <c r="E7" s="10">
        <f>Assumptions!B7</f>
        <v>0.25802880146286566</v>
      </c>
      <c r="F7" s="10">
        <f>Assumptions!B7</f>
        <v>0.25802880146286566</v>
      </c>
    </row>
    <row r="8" spans="1:6" x14ac:dyDescent="0.25">
      <c r="A8" t="s">
        <v>44</v>
      </c>
      <c r="B8" s="18">
        <f>B6*B7</f>
        <v>25665385494.01752</v>
      </c>
      <c r="C8" s="18">
        <f>C6*C7</f>
        <v>27102463562.41603</v>
      </c>
      <c r="D8" s="18">
        <f>D6*D7</f>
        <v>28620007726.87819</v>
      </c>
      <c r="E8" s="18">
        <f>E6*E7</f>
        <v>30222523513.41409</v>
      </c>
      <c r="F8" s="18">
        <f>F6*F7</f>
        <v>31914768725.273834</v>
      </c>
    </row>
    <row r="9" spans="1:6" x14ac:dyDescent="0.25">
      <c r="A9" t="s">
        <v>45</v>
      </c>
      <c r="B9" s="18">
        <f>B8*(1-Assumptions!B8)</f>
        <v>21668427138.195633</v>
      </c>
      <c r="C9" s="18">
        <f>C8*(1-Assumptions!B8)</f>
        <v>22881704118.751816</v>
      </c>
      <c r="D9" s="18">
        <f>D8*(1-Assumptions!B8)</f>
        <v>24162915934.7328</v>
      </c>
      <c r="E9" s="18">
        <f>E8*(1-Assumptions!B8)</f>
        <v>25515866451.157166</v>
      </c>
      <c r="F9" s="18">
        <f>F8*(1-Assumptions!B8)</f>
        <v>26944572522.285164</v>
      </c>
    </row>
    <row r="10" spans="1:6" x14ac:dyDescent="0.25">
      <c r="A10" t="s">
        <v>46</v>
      </c>
      <c r="B10" s="18">
        <f>B6*Assumptions!B9</f>
        <v>8388175375.932184</v>
      </c>
      <c r="C10" s="18">
        <f>C6*Assumptions!B9</f>
        <v>8857853217.686886</v>
      </c>
      <c r="D10" s="18">
        <f>D6*Assumptions!B9</f>
        <v>9353829660.168072</v>
      </c>
      <c r="E10" s="18">
        <f>E6*Assumptions!B9</f>
        <v>9877577236.969378</v>
      </c>
      <c r="F10" s="18">
        <f>F6*Assumptions!B9</f>
        <v>10430650933.036394</v>
      </c>
    </row>
    <row r="11" spans="1:6" x14ac:dyDescent="0.25">
      <c r="A11" t="s">
        <v>47</v>
      </c>
      <c r="B11" s="18">
        <f>-B6*Assumptions!B10</f>
        <v>-5825131707.040232</v>
      </c>
      <c r="C11" s="18">
        <f>-C6*Assumptions!B10</f>
        <v>-6151297430.273634</v>
      </c>
      <c r="D11" s="18">
        <f>-D6*Assumptions!B10</f>
        <v>-6495726101.773733</v>
      </c>
      <c r="E11" s="18">
        <f>-E6*Assumptions!B10</f>
        <v>-6859440316.055016</v>
      </c>
      <c r="F11" s="18">
        <f>-F6*Assumptions!B10</f>
        <v>-7243519925.612759</v>
      </c>
    </row>
    <row r="12" spans="1:6" x14ac:dyDescent="0.25">
      <c r="A12" t="s">
        <v>48</v>
      </c>
      <c r="B12" s="18">
        <f>-(B6-Assumptions!B29)*Assumptions!B11</f>
        <v>2557990933.1712804</v>
      </c>
      <c r="C12" s="18">
        <f>-(C6-B6)*Assumptions!B11</f>
        <v>2701220134.621594</v>
      </c>
      <c r="D12" s="18">
        <f>-(D6-C6)*Assumptions!B11</f>
        <v>2852469147.1987147</v>
      </c>
      <c r="E12" s="18">
        <f>-(E6-D6)*Assumptions!B11</f>
        <v>3012187022.9804</v>
      </c>
      <c r="F12" s="18">
        <f>-(F6-E6)*Assumptions!B11</f>
        <v>3180847957.749866</v>
      </c>
    </row>
    <row r="13" spans="1:6" x14ac:dyDescent="0.25">
      <c r="A13" s="19" t="s">
        <v>49</v>
      </c>
      <c r="B13" s="20">
        <f>B9+B10+B11+B12</f>
        <v>26789461740.258865</v>
      </c>
      <c r="C13" s="20">
        <f>C9+C10+C11+C12</f>
        <v>28289480040.786663</v>
      </c>
      <c r="D13" s="20">
        <f>D9+D10+D11+D12</f>
        <v>29873488640.32585</v>
      </c>
      <c r="E13" s="20">
        <f>E9+E10+E11+E12</f>
        <v>31546190395.051926</v>
      </c>
      <c r="F13" s="20">
        <f>F9+F10+F11+F12</f>
        <v>33312551487.458664</v>
      </c>
    </row>
    <row r="14" spans="1:6" x14ac:dyDescent="0.25">
      <c r="A14" t="s">
        <v>50</v>
      </c>
      <c r="B14" s="21">
        <f>1/(1+Assumptions!$B$26)^(1-0.5*Assumptions!$B$32)</f>
        <v>0.964747670110697</v>
      </c>
      <c r="C14" s="21">
        <f>1/(1+Assumptions!$B$26)^(2-0.5*Assumptions!$B$32)</f>
        <v>0.8979273816061653</v>
      </c>
      <c r="D14" s="21">
        <f>1/(1+Assumptions!$B$26)^(3-0.5*Assumptions!$B$32)</f>
        <v>0.8357351954481431</v>
      </c>
      <c r="E14" s="21">
        <f>1/(1+Assumptions!$B$26)^(4-0.5*Assumptions!$B$32)</f>
        <v>0.7778505603219154</v>
      </c>
      <c r="F14" s="21">
        <f>1/(1+Assumptions!$B$26)^(5-0.5*Assumptions!$B$32)</f>
        <v>0.7239751269164548</v>
      </c>
    </row>
    <row r="15" spans="1:6" x14ac:dyDescent="0.25">
      <c r="A15" s="19" t="s">
        <v>51</v>
      </c>
      <c r="B15" s="20">
        <f>B13*B14</f>
        <v>25845070797.4344</v>
      </c>
      <c r="C15" s="20">
        <f>C13*C14</f>
        <v>25401898740.02344</v>
      </c>
      <c r="D15" s="20">
        <f>D13*D14</f>
        <v>24966325867.540607</v>
      </c>
      <c r="E15" s="20">
        <f>E13*E14</f>
        <v>24538221874.812965</v>
      </c>
      <c r="F15" s="20">
        <f>F13*F14</f>
        <v>24117458691.043823</v>
      </c>
    </row>
    <row r="17" spans="1:2" x14ac:dyDescent="0.25">
      <c r="A17" s="22" t="s">
        <v>52</v>
      </c>
      <c r="B17" s="23">
        <f>SUM(B15:F15)</f>
        <v>124868975970.85522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33312551487.458664</v>
      </c>
    </row>
    <row r="5" spans="1:2" x14ac:dyDescent="0.25">
      <c r="A5" t="s">
        <v>56</v>
      </c>
      <c r="B5" s="18">
        <f>IF(Assumptions!$B$33=0,B4,B4-Forecast!F11-Forecast!F10-Forecast!F12)</f>
        <v>26944572522.285164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0.15023135647063818</v>
      </c>
    </row>
    <row r="7" spans="1:2" x14ac:dyDescent="0.25">
      <c r="A7" t="s">
        <v>58</v>
      </c>
      <c r="B7" s="18">
        <f>-MAX(Forecast!F9,0)*B6</f>
        <v>-4047919679.544385</v>
      </c>
    </row>
    <row r="8" spans="1:2" x14ac:dyDescent="0.25">
      <c r="A8" t="s">
        <v>59</v>
      </c>
      <c r="B8" s="18">
        <f>IF(OR(Assumptions!$B$33=0,Assumptions!B12&lt;=0),B5,MAX(B5+B7,0))</f>
        <v>22896652842.74078</v>
      </c>
    </row>
    <row r="9" spans="1:2" x14ac:dyDescent="0.25">
      <c r="A9" t="s">
        <v>60</v>
      </c>
      <c r="B9" s="18">
        <f>B8*(1+Assumptions!B12)/(Assumptions!B26-Assumptions!B12)</f>
        <v>474927216431.103</v>
      </c>
    </row>
    <row r="10" spans="1:2" x14ac:dyDescent="0.25">
      <c r="A10" t="s">
        <v>61</v>
      </c>
      <c r="B10" s="18">
        <f>B9/(1+Assumptions!B26)^(5-0.5*Assumptions!B32)</f>
        <v>343835491791.78644</v>
      </c>
    </row>
    <row r="11" spans="1:2" x14ac:dyDescent="0.25">
      <c r="A11" t="s">
        <v>62</v>
      </c>
      <c r="B11" s="18">
        <f>Forecast!B17+B10</f>
        <v>468704467762.64166</v>
      </c>
    </row>
    <row r="12" spans="1:2" x14ac:dyDescent="0.25">
      <c r="A12" t="s">
        <v>63</v>
      </c>
      <c r="B12" s="18">
        <f>-Assumptions!B30</f>
        <v>-27831000000</v>
      </c>
    </row>
    <row r="13" spans="1:2" x14ac:dyDescent="0.25">
      <c r="A13" t="s">
        <v>64</v>
      </c>
      <c r="B13" s="18">
        <f>B11+B12</f>
        <v>440873467762.64166</v>
      </c>
    </row>
    <row r="14" spans="1:2" x14ac:dyDescent="0.25">
      <c r="A14" s="19" t="s">
        <v>65</v>
      </c>
      <c r="B14" s="24">
        <f>B13/Assumptions!B31</f>
        <v>181.47421905105855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42345419658.31023</v>
      </c>
    </row>
    <row r="18" spans="1:2" x14ac:dyDescent="0.25">
      <c r="A18" t="s">
        <v>60</v>
      </c>
      <c r="B18" s="18">
        <f>B17*Assumptions!B13</f>
        <v>846908393166.2046</v>
      </c>
    </row>
    <row r="19" spans="1:2" x14ac:dyDescent="0.25">
      <c r="A19" t="s">
        <v>61</v>
      </c>
      <c r="B19" s="18">
        <f>B18/(1+Assumptions!B26)^(5-0.5*Assumptions!B32)</f>
        <v>613140611429.1138</v>
      </c>
    </row>
    <row r="20" spans="1:2" x14ac:dyDescent="0.25">
      <c r="A20" t="s">
        <v>62</v>
      </c>
      <c r="B20" s="18">
        <f>Forecast!B17+B19</f>
        <v>738009587399.969</v>
      </c>
    </row>
    <row r="21" spans="1:2" x14ac:dyDescent="0.25">
      <c r="A21" t="s">
        <v>63</v>
      </c>
      <c r="B21" s="18">
        <f>-Assumptions!B30</f>
        <v>-27831000000</v>
      </c>
    </row>
    <row r="22" spans="1:2" x14ac:dyDescent="0.25">
      <c r="A22" t="s">
        <v>64</v>
      </c>
      <c r="B22" s="18">
        <f>B20+B21</f>
        <v>710178587399.969</v>
      </c>
    </row>
    <row r="23" spans="1:2" x14ac:dyDescent="0.25">
      <c r="A23" s="19" t="s">
        <v>65</v>
      </c>
      <c r="B23" s="25">
        <f>B22/Assumptions!B31</f>
        <v>292.3267421585449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269.99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181.47421905105855</v>
      </c>
    </row>
    <row r="29" spans="1:2" x14ac:dyDescent="0.25">
      <c r="A29" s="19" t="s">
        <v>73</v>
      </c>
      <c r="B29" s="12">
        <f>B28/B26-1</f>
        <v>-0.32784836826897834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0.054416</v>
      </c>
      <c r="B5" s="31">
        <v>247.1318993647089</v>
      </c>
      <c r="C5" s="31">
        <v>270.2495257184338</v>
      </c>
      <c r="D5" s="31">
        <v>301.136759848345</v>
      </c>
      <c r="E5" s="31">
        <v>344.5668699655663</v>
      </c>
      <c r="F5" s="31">
        <v>410.22996421851406</v>
      </c>
    </row>
    <row r="6" spans="1:6" x14ac:dyDescent="0.25">
      <c r="A6" s="30">
        <v>0.064416</v>
      </c>
      <c r="B6" s="31">
        <v>197.657420222833</v>
      </c>
      <c r="C6" s="31">
        <v>210.35535837606156</v>
      </c>
      <c r="D6" s="31">
        <v>226.21097580615765</v>
      </c>
      <c r="E6" s="31">
        <v>246.60052742807414</v>
      </c>
      <c r="F6" s="31">
        <v>273.8359867554536</v>
      </c>
    </row>
    <row r="7" spans="1:6" x14ac:dyDescent="0.25">
      <c r="A7" s="30">
        <v>0.074416</v>
      </c>
      <c r="B7" s="31">
        <v>164.74876387348016</v>
      </c>
      <c r="C7" s="31">
        <v>172.3654776097145</v>
      </c>
      <c r="D7" s="32">
        <v>181.47471460606488</v>
      </c>
      <c r="E7" s="31">
        <v>192.58052405430325</v>
      </c>
      <c r="F7" s="31">
        <v>206.44271381870604</v>
      </c>
    </row>
    <row r="8" spans="1:6" x14ac:dyDescent="0.25">
      <c r="A8" s="30">
        <v>0.084416</v>
      </c>
      <c r="B8" s="31">
        <v>141.25106148334126</v>
      </c>
      <c r="C8" s="31">
        <v>146.08403939965305</v>
      </c>
      <c r="D8" s="31">
        <v>151.69148351900583</v>
      </c>
      <c r="E8" s="31">
        <v>158.28687871800972</v>
      </c>
      <c r="F8" s="31">
        <v>166.17011301258594</v>
      </c>
    </row>
    <row r="9" spans="1:6" x14ac:dyDescent="0.25">
      <c r="A9" s="30">
        <v>0.094416</v>
      </c>
      <c r="B9" s="31">
        <v>123.61291456050172</v>
      </c>
      <c r="C9" s="31">
        <v>126.79533216472183</v>
      </c>
      <c r="D9" s="31">
        <v>130.4042180387011</v>
      </c>
      <c r="E9" s="31">
        <v>134.53888018117263</v>
      </c>
      <c r="F9" s="31">
        <v>139.3320546232961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94193000000</v>
      </c>
      <c r="C5" s="18">
        <v>88821000000</v>
      </c>
      <c r="D5" s="18">
        <v>85159000000</v>
      </c>
      <c r="E5" s="18">
        <v>79990000000</v>
      </c>
      <c r="F5" s="8" t="s">
        <v>84</v>
      </c>
    </row>
    <row r="6" spans="1:6" x14ac:dyDescent="0.25">
      <c r="A6" t="s">
        <v>44</v>
      </c>
      <c r="B6" s="18">
        <v>25596000000</v>
      </c>
      <c r="C6" s="18">
        <v>21249000000</v>
      </c>
      <c r="D6" s="18">
        <v>22009000000</v>
      </c>
      <c r="E6" s="18">
        <v>21013000000</v>
      </c>
      <c r="F6" s="8" t="s">
        <v>85</v>
      </c>
    </row>
    <row r="7" spans="1:6" x14ac:dyDescent="0.25">
      <c r="A7" t="s">
        <v>86</v>
      </c>
      <c r="B7" s="18">
        <v>7503000000</v>
      </c>
      <c r="C7" s="18">
        <v>7339000000</v>
      </c>
      <c r="D7" s="18">
        <v>7486000000</v>
      </c>
      <c r="E7" s="18">
        <v>6970000000</v>
      </c>
      <c r="F7" s="8" t="s">
        <v>87</v>
      </c>
    </row>
    <row r="8" spans="1:6" x14ac:dyDescent="0.25">
      <c r="A8" t="s">
        <v>88</v>
      </c>
      <c r="B8" s="18">
        <v>5217000000</v>
      </c>
      <c r="C8" s="18">
        <v>6207000000</v>
      </c>
      <c r="D8" s="18">
        <v>5013000000</v>
      </c>
      <c r="E8" s="18">
        <v>4009000000</v>
      </c>
      <c r="F8" s="8" t="s">
        <v>89</v>
      </c>
    </row>
    <row r="9" spans="1:6" x14ac:dyDescent="0.25">
      <c r="A9" t="s">
        <v>90</v>
      </c>
      <c r="B9" s="18">
        <v>12718000000</v>
      </c>
      <c r="C9" s="18">
        <v>-1837000000</v>
      </c>
      <c r="D9" s="18">
        <v>-2507000000</v>
      </c>
      <c r="E9" s="18">
        <v>4011000000</v>
      </c>
      <c r="F9" s="8" t="s">
        <v>91</v>
      </c>
    </row>
    <row r="10" spans="1:6" x14ac:dyDescent="0.25">
      <c r="A10" t="s">
        <v>92</v>
      </c>
      <c r="B10" s="18">
        <v>47933000000</v>
      </c>
      <c r="C10" s="18">
        <v>36634000000</v>
      </c>
      <c r="D10" s="18">
        <v>29332000000</v>
      </c>
      <c r="E10" s="18">
        <v>39642000000</v>
      </c>
      <c r="F10" s="8" t="s">
        <v>93</v>
      </c>
    </row>
    <row r="11" spans="1:6" x14ac:dyDescent="0.25">
      <c r="A11" t="s">
        <v>94</v>
      </c>
      <c r="B11" s="18">
        <v>20102000000</v>
      </c>
      <c r="C11" s="18">
        <v>24522000000</v>
      </c>
      <c r="D11" s="18">
        <v>22927000000</v>
      </c>
      <c r="E11" s="18">
        <v>22281000000</v>
      </c>
      <c r="F11" s="8" t="s">
        <v>95</v>
      </c>
    </row>
    <row r="12" spans="1:6" x14ac:dyDescent="0.25">
      <c r="A12" t="s">
        <v>32</v>
      </c>
      <c r="B12" s="34">
        <v>2429400000</v>
      </c>
      <c r="C12" s="34">
        <v>2429400000</v>
      </c>
      <c r="D12" s="34">
        <v>2560400000</v>
      </c>
      <c r="E12" s="34">
        <v>2663900000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2026-09-19T01:05:23Z</dcterms:modified>
</cp:coreProperties>
</file>