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<sst xmlns="http://schemas.openxmlformats.org/spreadsheetml/2006/main" count="120" uniqueCount="107">
  <si>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Johnson &amp; Johnson (JNJ)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</si>
  <si>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</si>
  <si>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</si>
  <si>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</si>
  <si>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</si>
  <si>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</si>
  <si>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</si>
  <si>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</si>
  <si>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</si>
  <si>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</si>
  <si>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</si>
  <si>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</si>
  <si>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</si>
  <si>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</si>
  <si>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</si>
  <si>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</si>
  <si>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</si>
  <si>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</si>
  <si>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</si>
  <si>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</si>
  <si>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</si>
  <si>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</si>
  <si>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</si>
  <si>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</si>
  <si>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26.4x interest cover. Book interest / average debt was lower, at 2.3%.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</si>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</sst>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0.07462562610809731</v>
      </c>
    </row>
    <row r="7" spans="1:2" x14ac:dyDescent="0.25">
      <c r="A7" t="s">
        <v>4</v>
      </c>
      <c r="B7" s="5">
        <v>0.25802880146286566</v>
      </c>
    </row>
    <row r="8" spans="1:2" x14ac:dyDescent="0.25">
      <c r="A8" t="s">
        <v>5</v>
      </c>
      <c r="B8" s="5">
        <v>0.15573342378798719</v>
      </c>
    </row>
    <row r="9" spans="1:2" x14ac:dyDescent="0.25">
      <c r="A9" t="s">
        <v>6</v>
      </c>
      <c r="B9" s="5">
        <v>0.08433112525103562</v>
      </c>
    </row>
    <row r="10" spans="1:3" x14ac:dyDescent="0.25">
      <c r="A10" t="s">
        <v>7</v>
      </c>
      <c r="B10" s="5">
        <v>0.058563381137652575</v>
      </c>
      <c r="C10" s="6" t="s">
        <v>8</v>
      </c>
    </row>
    <row r="11" spans="1:2" x14ac:dyDescent="0.25">
      <c r="A11" t="s">
        <v>9</v>
      </c>
      <c r="B11" s="5">
        <v>0.19197699548981756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0.16640999979845156</v>
      </c>
      <c r="C14" s="6" t="s">
        <v>13</v>
      </c>
    </row>
    <row r="15" spans="1:3" x14ac:dyDescent="0.25">
      <c r="A15" t="s">
        <v>14</v>
      </c>
      <c r="B15" s="5">
        <v>0.08433112525103562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0.46802</v>
      </c>
      <c r="C19" s="6" t="s">
        <v>21</v>
      </c>
    </row>
    <row r="20" spans="1:2" x14ac:dyDescent="0.25">
      <c r="A20" t="s">
        <v>22</v>
      </c>
      <c r="B20" s="9">
        <f>B17+B19*B18</f>
        <v>0.068737246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657677221888</v>
      </c>
    </row>
    <row r="23" spans="1:2" x14ac:dyDescent="0.25">
      <c r="A23" t="s">
        <v>26</v>
      </c>
      <c r="B23" s="10">
        <v>47933000000</v>
      </c>
    </row>
    <row r="24" spans="1:2" x14ac:dyDescent="0.25">
      <c r="A24" t="s">
        <v>27</v>
      </c>
      <c r="B24" s="9">
        <f>B22/(B22+B23)</f>
        <v>0.9320687278711103</v>
      </c>
    </row>
    <row r="25" spans="1:2" x14ac:dyDescent="0.25">
      <c r="A25" t="s">
        <v>28</v>
      </c>
      <c r="B25" s="9">
        <f>1-B24</f>
        <v>0.06793127212888972</v>
      </c>
    </row>
    <row r="26" spans="1:2" x14ac:dyDescent="0.25">
      <c r="A26" t="s">
        <v>29</v>
      </c>
      <c r="B26" s="11">
        <f>B24*B20+B25*B21*(1-B8)</f>
        <v>0.06710405774494445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94193000000</v>
      </c>
      <c r="C29" s="6" t="s">
        <v>32</v>
      </c>
    </row>
    <row r="30" spans="1:2" x14ac:dyDescent="0.25">
      <c r="A30" t="s">
        <v>33</v>
      </c>
      <c r="B30" s="10">
        <v>27831000000</v>
      </c>
    </row>
    <row r="31" spans="1:2" x14ac:dyDescent="0.25">
      <c r="A31" t="s">
        <v>34</v>
      </c>
      <c r="B31" s="12">
        <v>2429400000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0.07462562610809731</v>
      </c>
      <c r="C5" s="5">
        <v>0.06447992527363433</v>
      </c>
      <c r="D5" s="5">
        <v>0.05954493461443004</v>
      </c>
      <c r="E5" s="5">
        <v>0.05460994395522575</v>
      </c>
      <c r="F5" s="5">
        <v>0.04967495329602146</v>
      </c>
      <c r="G5" s="5">
        <v>0.04473996263681716</v>
      </c>
      <c r="H5" s="5">
        <v>0.039804971977612874</v>
      </c>
      <c r="I5" s="5">
        <v>0.034869981318408586</v>
      </c>
      <c r="J5" s="5">
        <v>0.02993499065920429</v>
      </c>
      <c r="K5" s="5">
        <v>0.025</v>
      </c>
    </row>
    <row r="6" spans="1:11" x14ac:dyDescent="0.25">
      <c r="A6" t="s">
        <v>50</v>
      </c>
      <c r="B6" s="18">
        <f>Assumptions!B29*(1+B5)</f>
        <v>101222211600.00002</v>
      </c>
      <c r="C6" s="18">
        <f>B6*(1+C5)</f>
        <v>107749012240.00002</v>
      </c>
      <c r="D6" s="18">
        <f>C6*(1+D5)</f>
        <v>114164920128.60025</v>
      </c>
      <c r="E6" s="18">
        <f>D6*(1+E5)</f>
        <v>120399460018.47592</v>
      </c>
      <c r="F6" s="18">
        <f>E6*(1+F5)</f>
        <v>126380297571.75992</v>
      </c>
      <c r="G6" s="18">
        <f>F6*(1+G5)</f>
        <v>132034547363.1503</v>
      </c>
      <c r="H6" s="18">
        <f>G6*(1+H5)</f>
        <v>137290178821.01729</v>
      </c>
      <c r="I6" s="18">
        <f>H6*(1+I5)</f>
        <v>142077484791.70712</v>
      </c>
      <c r="J6" s="18">
        <f>I6*(1+J5)</f>
        <v>146330572971.83014</v>
      </c>
      <c r="K6" s="18">
        <f>J6*(1+K5)</f>
        <v>149988837296.1259</v>
      </c>
    </row>
    <row r="7" spans="1:11" x14ac:dyDescent="0.25">
      <c r="A7" t="s">
        <v>4</v>
      </c>
      <c r="B7" s="9">
        <f>Assumptions!B7</f>
        <v>0.25802880146286566</v>
      </c>
      <c r="C7" s="9">
        <f>Assumptions!B7</f>
        <v>0.25802880146286566</v>
      </c>
      <c r="D7" s="9">
        <f>Assumptions!B7</f>
        <v>0.25802880146286566</v>
      </c>
      <c r="E7" s="9">
        <f>Assumptions!B7</f>
        <v>0.25802880146286566</v>
      </c>
      <c r="F7" s="9">
        <f>Assumptions!B7</f>
        <v>0.25802880146286566</v>
      </c>
      <c r="G7" s="9">
        <f>Assumptions!B7</f>
        <v>0.25802880146286566</v>
      </c>
      <c r="H7" s="9">
        <f>Assumptions!B7</f>
        <v>0.25802880146286566</v>
      </c>
      <c r="I7" s="9">
        <f>Assumptions!B7</f>
        <v>0.25802880146286566</v>
      </c>
      <c r="J7" s="9">
        <f>Assumptions!B7</f>
        <v>0.25802880146286566</v>
      </c>
      <c r="K7" s="9">
        <f>Assumptions!B7</f>
        <v>0.25802880146286566</v>
      </c>
    </row>
    <row r="8" spans="1:11" x14ac:dyDescent="0.25">
      <c r="A8" t="s">
        <v>51</v>
      </c>
      <c r="B8" s="18">
        <f>B6*B7</f>
        <v>26118245940.56858</v>
      </c>
      <c r="C8" s="18">
        <f>C6*C7</f>
        <v>27802348487.094845</v>
      </c>
      <c r="D8" s="18">
        <f>D6*D7</f>
        <v>29457837509.88651</v>
      </c>
      <c r="E8" s="18">
        <f>E6*E7</f>
        <v>31066528365.343555</v>
      </c>
      <c r="F8" s="18">
        <f>F6*F7</f>
        <v>32609756710.961525</v>
      </c>
      <c r="G8" s="18">
        <f>G6*G7</f>
        <v>34068716007.80564</v>
      </c>
      <c r="H8" s="18">
        <f>H6*H7</f>
        <v>35424820293.80959</v>
      </c>
      <c r="I8" s="18">
        <f>I6*I7</f>
        <v>36660083115.66271</v>
      </c>
      <c r="J8" s="18">
        <f>J6*J7</f>
        <v>37757502361.29574</v>
      </c>
      <c r="K8" s="18">
        <f>K6*K7</f>
        <v>38701439920.328125</v>
      </c>
    </row>
    <row r="9" spans="1:11" x14ac:dyDescent="0.25">
      <c r="A9" t="s">
        <v>52</v>
      </c>
      <c r="B9" s="18">
        <f>B8*(1-Assumptions!B8)</f>
        <v>22050762076.90714</v>
      </c>
      <c r="C9" s="18">
        <f>C8*(1-Assumptions!B8)</f>
        <v>23472593567.8528</v>
      </c>
      <c r="D9" s="18">
        <f>D8*(1-Assumptions!B8)</f>
        <v>24870267617.081688</v>
      </c>
      <c r="E9" s="18">
        <f>E8*(1-Assumptions!B8)</f>
        <v>26228431537.801983</v>
      </c>
      <c r="F9" s="18">
        <f>F8*(1-Assumptions!B8)</f>
        <v>27531327649.470196</v>
      </c>
      <c r="G9" s="18">
        <f>G8*(1-Assumptions!B8)</f>
        <v>28763078219.849464</v>
      </c>
      <c r="H9" s="18">
        <f>H8*(1-Assumptions!B8)</f>
        <v>29907991742.380455</v>
      </c>
      <c r="I9" s="18">
        <f>I8*(1-Assumptions!B8)</f>
        <v>30950882855.708378</v>
      </c>
      <c r="J9" s="18">
        <f>J8*(1-Assumptions!B8)</f>
        <v>31877397244.88814</v>
      </c>
      <c r="K9" s="18">
        <f>K8*(1-Assumptions!B8)</f>
        <v>32674332176.01034</v>
      </c>
    </row>
    <row r="10" spans="1:11" x14ac:dyDescent="0.25">
      <c r="A10" t="s">
        <v>53</v>
      </c>
      <c r="B10" s="18">
        <f>B6*Assumptions!B9</f>
        <v>8536183004.626431</v>
      </c>
      <c r="C10" s="18">
        <f>C6*Assumptions!B9</f>
        <v>9086595446.88681</v>
      </c>
      <c r="D10" s="18">
        <f>D6*Assumptions!B9</f>
        <v>9627656178.639465</v>
      </c>
      <c r="E10" s="18">
        <f>E6*Assumptions!B9</f>
        <v>10153421942.975147</v>
      </c>
      <c r="F10" s="18">
        <f>F6*Assumptions!B9</f>
        <v>10657792703.787237</v>
      </c>
      <c r="G10" s="18">
        <f>G6*Assumptions!B9</f>
        <v>11134621951.145622</v>
      </c>
      <c r="H10" s="18">
        <f>H6*Assumptions!B9</f>
        <v>11577835265.892286</v>
      </c>
      <c r="I10" s="18">
        <f>I6*Assumptions!B9</f>
        <v>11981554165.321562</v>
      </c>
      <c r="J10" s="18">
        <f>J6*Assumptions!B9</f>
        <v>12340221877.343214</v>
      </c>
      <c r="K10" s="18">
        <f>K6*Assumptions!B9</f>
        <v>12648727424.276794</v>
      </c>
    </row>
    <row r="11" spans="1:11" x14ac:dyDescent="0.25">
      <c r="A11" t="s">
        <v>54</v>
      </c>
      <c r="B11" s="18">
        <f>-B6*B19</f>
        <v>-5927914957.526918</v>
      </c>
      <c r="C11" s="18">
        <f>-C6*C19</f>
        <v>-7010454087.400335</v>
      </c>
      <c r="D11" s="18">
        <f>-D6*D19</f>
        <v>-8169898505.263226</v>
      </c>
      <c r="E11" s="18">
        <f>-E6*E19</f>
        <v>-9398584574.218513</v>
      </c>
      <c r="F11" s="18">
        <f>-F6*F19</f>
        <v>-10686859253.660393</v>
      </c>
      <c r="G11" s="18">
        <f>-G6*G19</f>
        <v>-12023138791.576202</v>
      </c>
      <c r="H11" s="18">
        <f>-H6*H19</f>
        <v>-13394027979.359068</v>
      </c>
      <c r="I11" s="18">
        <f>-I6*I19</f>
        <v>-14784500750.084524</v>
      </c>
      <c r="J11" s="18">
        <f>-J6*J19</f>
        <v>-16178140574.067724</v>
      </c>
      <c r="K11" s="18">
        <f>-K6*K19</f>
        <v>-17557436668.851044</v>
      </c>
    </row>
    <row r="12" spans="1:11" x14ac:dyDescent="0.25">
      <c r="A12" t="s">
        <v>55</v>
      </c>
      <c r="B12" s="18">
        <f>-(B6-Assumptions!B29)*Assumptions!B11</f>
        <v>-1349446923.6301763</v>
      </c>
      <c r="C12" s="18">
        <f>-(C6-B6)*Assumptions!B11</f>
        <v>-1252995577.0282183</v>
      </c>
      <c r="D12" s="18">
        <f>-(D6-C6)*Assumptions!B11</f>
        <v>-1231706719.7928922</v>
      </c>
      <c r="E12" s="18">
        <f>-(E6-D6)*Assumptions!B11</f>
        <v>-1196888236.3197494</v>
      </c>
      <c r="F12" s="18">
        <f>-(F6-E6)*Assumptions!B11</f>
        <v>-1148183223.9921334</v>
      </c>
      <c r="G12" s="18">
        <f>-(G6-F6)*Assumptions!B11</f>
        <v>-1085485886.700053</v>
      </c>
      <c r="H12" s="18">
        <f>-(H6-G6)*Assumptions!B11</f>
        <v>-1008960336.6830742</v>
      </c>
      <c r="I12" s="18">
        <f>-(I6-H6)*Assumptions!B11</f>
        <v>-919052616.743499</v>
      </c>
      <c r="J12" s="18">
        <f>-(J6-I6)*Assumptions!B11</f>
        <v>-816495090.3732727</v>
      </c>
      <c r="K12" s="18">
        <f>-(K6-J6)*Assumptions!B11</f>
        <v>-702302593.6858848</v>
      </c>
    </row>
    <row r="13" spans="1:11" x14ac:dyDescent="0.25">
      <c r="A13" s="19" t="s">
        <v>56</v>
      </c>
      <c r="B13" s="20">
        <f>B9+B10+B11+B12</f>
        <v>23309583200.376476</v>
      </c>
      <c r="C13" s="20">
        <f>C9+C10+C11+C12</f>
        <v>24295739350.311054</v>
      </c>
      <c r="D13" s="20">
        <f>D9+D10+D11+D12</f>
        <v>25096318570.665035</v>
      </c>
      <c r="E13" s="20">
        <f>E9+E10+E11+E12</f>
        <v>25786380670.23887</v>
      </c>
      <c r="F13" s="20">
        <f>F9+F10+F11+F12</f>
        <v>26354077875.604904</v>
      </c>
      <c r="G13" s="20">
        <f>G9+G10+G11+G12</f>
        <v>26789075492.71883</v>
      </c>
      <c r="H13" s="20">
        <f>H9+H10+H11+H12</f>
        <v>27082838692.2306</v>
      </c>
      <c r="I13" s="20">
        <f>I9+I10+I11+I12</f>
        <v>27228883654.201912</v>
      </c>
      <c r="J13" s="20">
        <f>J9+J10+J11+J12</f>
        <v>27222983457.790356</v>
      </c>
      <c r="K13" s="20">
        <f>K9+K10+K11+K12</f>
        <v>27063320337.75021</v>
      </c>
    </row>
    <row r="14" spans="1:11" x14ac:dyDescent="0.25">
      <c r="A14" t="s">
        <v>57</v>
      </c>
      <c r="B14" s="21">
        <f>1/(1+Assumptions!$B$26)^(1-0.5*Assumptions!$B$32)</f>
        <v>0.9680473809779997</v>
      </c>
      <c r="C14" s="21">
        <f>1/(1+Assumptions!$B$26)^(2-0.5*Assumptions!$B$32)</f>
        <v>0.9071724298600494</v>
      </c>
      <c r="D14" s="21">
        <f>1/(1+Assumptions!$B$26)^(3-0.5*Assumptions!$B$32)</f>
        <v>0.8501255554937444</v>
      </c>
      <c r="E14" s="21">
        <f>1/(1+Assumptions!$B$26)^(4-0.5*Assumptions!$B$32)</f>
        <v>0.796666032074014</v>
      </c>
      <c r="F14" s="21">
        <f>1/(1+Assumptions!$B$26)^(5-0.5*Assumptions!$B$32)</f>
        <v>0.7465682716618722</v>
      </c>
      <c r="G14" s="21">
        <f>1/(1+Assumptions!$B$26)^(6-0.5*Assumptions!$B$32)</f>
        <v>0.6996208722507871</v>
      </c>
      <c r="H14" s="21">
        <f>1/(1+Assumptions!$B$26)^(7-0.5*Assumptions!$B$32)</f>
        <v>0.6556257256946989</v>
      </c>
      <c r="I14" s="21">
        <f>1/(1+Assumptions!$B$26)^(8-0.5*Assumptions!$B$32)</f>
        <v>0.6143971817333341</v>
      </c>
      <c r="J14" s="21">
        <f>1/(1+Assumptions!$B$26)^(9-0.5*Assumptions!$B$32)</f>
        <v>0.5757612645871741</v>
      </c>
      <c r="K14" s="21">
        <f>1/(1+Assumptions!$B$26)^(10-0.5*Assumptions!$B$32)</f>
        <v>0.5395549388162767</v>
      </c>
    </row>
    <row r="15" spans="1:11" x14ac:dyDescent="0.25">
      <c r="A15" s="19" t="s">
        <v>58</v>
      </c>
      <c r="B15" s="20">
        <f>B13*B14</f>
        <v>22564780968.81323</v>
      </c>
      <c r="C15" s="20">
        <f>C13*C14</f>
        <v>22040424901.6681</v>
      </c>
      <c r="D15" s="20">
        <f>D13*D14</f>
        <v>21335021765.734585</v>
      </c>
      <c r="E15" s="20">
        <f>E13*E14</f>
        <v>20543133570.109253</v>
      </c>
      <c r="F15" s="20">
        <f>F13*F14</f>
        <v>19675118370.832737</v>
      </c>
      <c r="G15" s="20">
        <f>G13*G14</f>
        <v>18742196363.008133</v>
      </c>
      <c r="H15" s="20">
        <f>H13*H14</f>
        <v>17756205771.466156</v>
      </c>
      <c r="I15" s="20">
        <f>I13*I14</f>
        <v>16729349378.886503</v>
      </c>
      <c r="J15" s="20">
        <f>J13*J14</f>
        <v>15673939381.493097</v>
      </c>
      <c r="K15" s="20">
        <f>K13*K14</f>
        <v>14602148149.00011</v>
      </c>
    </row>
    <row r="17" spans="1:2" x14ac:dyDescent="0.25">
      <c r="A17" s="22" t="s">
        <v>59</v>
      </c>
      <c r="B17" s="23">
        <f>SUM(B15:K15)</f>
        <v>189662318621.01193</v>
      </c>
    </row>
    <row r="19" spans="1:11" x14ac:dyDescent="0.25">
      <c r="A19" t="s">
        <v>7</v>
      </c>
      <c r="B19" s="9">
        <f>Assumptions!$B$10+($B$20-Assumptions!$B$10)*0/9</f>
        <v>0.058563381137652575</v>
      </c>
      <c r="C19" s="9">
        <f>Assumptions!$B$10+($B$20-Assumptions!$B$10)*1/9</f>
        <v>0.06506281534892644</v>
      </c>
      <c r="D19" s="9">
        <f>Assumptions!$B$10+($B$20-Assumptions!$B$10)*2/9</f>
        <v>0.0715622495602003</v>
      </c>
      <c r="E19" s="9">
        <f>Assumptions!$B$10+($B$20-Assumptions!$B$10)*3/9</f>
        <v>0.07806168377147416</v>
      </c>
      <c r="F19" s="9">
        <f>Assumptions!$B$10+($B$20-Assumptions!$B$10)*4/9</f>
        <v>0.08456111798274801</v>
      </c>
      <c r="G19" s="9">
        <f>Assumptions!$B$10+($B$20-Assumptions!$B$10)*5/9</f>
        <v>0.09106055219402188</v>
      </c>
      <c r="H19" s="9">
        <f>Assumptions!$B$10+($B$20-Assumptions!$B$10)*6/9</f>
        <v>0.09755998640529574</v>
      </c>
      <c r="I19" s="9">
        <f>Assumptions!$B$10+($B$20-Assumptions!$B$10)*7/9</f>
        <v>0.10405942061656961</v>
      </c>
      <c r="J19" s="9">
        <f>Assumptions!$B$10+($B$20-Assumptions!$B$10)*8/9</f>
        <v>0.11055885482784347</v>
      </c>
      <c r="K19" s="9">
        <f>Assumptions!$B$10+($B$20-Assumptions!$B$10)*9/9</f>
        <v>0.11705828903911733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0.11705828903911733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27063320337.75021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32674332176.01034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0.15023135647063818</v>
      </c>
    </row>
    <row r="7" spans="1:2" x14ac:dyDescent="0.25">
      <c r="A7" t="s">
        <v>66</v>
      </c>
      <c r="B7" s="18">
        <f>-MAX(B5,0)*B6</f>
        <v>-4908709244.574252</v>
      </c>
    </row>
    <row r="8" spans="1:2" x14ac:dyDescent="0.25">
      <c r="A8" t="s">
        <v>67</v>
      </c>
      <c r="B8" s="18">
        <f>IF(OR(Assumptions!$B$33=0,Assumptions!B12&lt;=0),B5,MAX(B5+B7,0))</f>
        <v>27765622931.43609</v>
      </c>
    </row>
    <row r="9" spans="1:2" x14ac:dyDescent="0.25">
      <c r="A9" t="s">
        <v>68</v>
      </c>
      <c r="B9" s="18">
        <f>B8*(1+Assumptions!B12)/(Assumptions!B26-Assumptions!B12)</f>
        <v>675938734388.118</v>
      </c>
    </row>
    <row r="10" spans="1:2" x14ac:dyDescent="0.25">
      <c r="A10" t="s">
        <v>69</v>
      </c>
      <c r="B10" s="18">
        <f>B9/(1+Assumptions!B26)^(10-0.5*Assumptions!B32)</f>
        <v>364706082476.3325</v>
      </c>
    </row>
    <row r="11" spans="1:2" x14ac:dyDescent="0.25">
      <c r="A11" t="s">
        <v>70</v>
      </c>
      <c r="B11" s="18">
        <f>Forecast!B17+B10</f>
        <v>554368401097.3445</v>
      </c>
    </row>
    <row r="12" spans="1:2" x14ac:dyDescent="0.25">
      <c r="A12" t="s">
        <v>71</v>
      </c>
      <c r="B12" s="18">
        <f>-Assumptions!B30</f>
        <v>-27831000000</v>
      </c>
    </row>
    <row r="13" spans="1:2" x14ac:dyDescent="0.25">
      <c r="A13" t="s">
        <v>72</v>
      </c>
      <c r="B13" s="18">
        <f>B11+B12</f>
        <v>526537401097.3445</v>
      </c>
    </row>
    <row r="14" spans="1:2" x14ac:dyDescent="0.25">
      <c r="A14" s="19" t="s">
        <v>73</v>
      </c>
      <c r="B14" s="24">
        <f>B13/Assumptions!B31</f>
        <v>216.73557302105232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51350167344.60492</v>
      </c>
    </row>
    <row r="18" spans="1:2" x14ac:dyDescent="0.25">
      <c r="A18" t="s">
        <v>68</v>
      </c>
      <c r="B18" s="18">
        <f>B17*Assumptions!B13</f>
        <v>1027003346892.0984</v>
      </c>
    </row>
    <row r="19" spans="1:2" x14ac:dyDescent="0.25">
      <c r="A19" t="s">
        <v>69</v>
      </c>
      <c r="B19" s="18">
        <f>B18/(1+Assumptions!B26)^(10-0.5*Assumptions!B32)</f>
        <v>554124727996.4775</v>
      </c>
    </row>
    <row r="20" spans="1:2" x14ac:dyDescent="0.25">
      <c r="A20" t="s">
        <v>70</v>
      </c>
      <c r="B20" s="18">
        <f>Forecast!B17+B19</f>
        <v>743787046617.4895</v>
      </c>
    </row>
    <row r="21" spans="1:2" x14ac:dyDescent="0.25">
      <c r="A21" t="s">
        <v>71</v>
      </c>
      <c r="B21" s="18">
        <f>-Assumptions!B30</f>
        <v>-27831000000</v>
      </c>
    </row>
    <row r="22" spans="1:2" x14ac:dyDescent="0.25">
      <c r="A22" t="s">
        <v>72</v>
      </c>
      <c r="B22" s="18">
        <f>B20+B21</f>
        <v>715956046617.4895</v>
      </c>
    </row>
    <row r="23" spans="1:2" x14ac:dyDescent="0.25">
      <c r="A23" s="19" t="s">
        <v>73</v>
      </c>
      <c r="B23" s="25">
        <f>B22/Assumptions!B31</f>
        <v>294.70488458775395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273.2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216.73557302105232</v>
      </c>
    </row>
    <row r="29" spans="1:2" x14ac:dyDescent="0.25">
      <c r="A29" s="19" t="s">
        <v>81</v>
      </c>
      <c r="B29" s="11">
        <f>B28/B26-1</f>
        <v>-0.20667799040610424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0.047104</v>
      </c>
      <c r="B5" s="31">
        <v>326.40514632128117</v>
      </c>
      <c r="C5" s="31">
        <v>362.78249034497674</v>
      </c>
      <c r="D5" s="31">
        <v>416.1103805226575</v>
      </c>
      <c r="E5" s="31">
        <v>501.2542396975052</v>
      </c>
      <c r="F5" s="31">
        <v>657.642317618157</v>
      </c>
    </row>
    <row r="6" spans="1:6" x14ac:dyDescent="0.25">
      <c r="A6" s="30">
        <v>0.057104</v>
      </c>
      <c r="B6" s="31">
        <v>246.7017720374049</v>
      </c>
      <c r="C6" s="31">
        <v>263.3092132252952</v>
      </c>
      <c r="D6" s="31">
        <v>285.4100194055637</v>
      </c>
      <c r="E6" s="31">
        <v>316.04434977558634</v>
      </c>
      <c r="F6" s="31">
        <v>361.00314094621683</v>
      </c>
    </row>
    <row r="7" spans="1:6" x14ac:dyDescent="0.25">
      <c r="A7" s="30">
        <v>0.067104</v>
      </c>
      <c r="B7" s="31">
        <v>197.61360273039804</v>
      </c>
      <c r="C7" s="31">
        <v>206.05675870990052</v>
      </c>
      <c r="D7" s="32">
        <v>216.73587555426363</v>
      </c>
      <c r="E7" s="31">
        <v>230.5548831085962</v>
      </c>
      <c r="F7" s="31">
        <v>248.98083721171992</v>
      </c>
    </row>
    <row r="8" spans="1:6" x14ac:dyDescent="0.25">
      <c r="A8" s="30">
        <v>0.077104</v>
      </c>
      <c r="B8" s="31">
        <v>164.3499105185361</v>
      </c>
      <c r="C8" s="31">
        <v>168.84466003559282</v>
      </c>
      <c r="D8" s="31">
        <v>174.37820925334466</v>
      </c>
      <c r="E8" s="31">
        <v>181.28135800854494</v>
      </c>
      <c r="F8" s="31">
        <v>190.0420407744438</v>
      </c>
    </row>
    <row r="9" spans="1:6" x14ac:dyDescent="0.25">
      <c r="A9" s="30">
        <v>0.087104</v>
      </c>
      <c r="B9" s="31">
        <v>140.32534372241642</v>
      </c>
      <c r="C9" s="31">
        <v>142.71398355987566</v>
      </c>
      <c r="D9" s="31">
        <v>145.6270354744432</v>
      </c>
      <c r="E9" s="31">
        <v>149.20225130761227</v>
      </c>
      <c r="F9" s="31">
        <v>153.63025862692123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94193000000</v>
      </c>
      <c r="C5" s="18">
        <v>88821000000</v>
      </c>
      <c r="D5" s="18">
        <v>85159000000</v>
      </c>
      <c r="E5" s="18">
        <v>79990000000</v>
      </c>
      <c r="F5" s="6" t="s">
        <v>91</v>
      </c>
    </row>
    <row r="6" spans="1:6" x14ac:dyDescent="0.25">
      <c r="A6" t="s">
        <v>51</v>
      </c>
      <c r="B6" s="18">
        <v>25596000000</v>
      </c>
      <c r="C6" s="18">
        <v>21249000000</v>
      </c>
      <c r="D6" s="18">
        <v>22009000000</v>
      </c>
      <c r="E6" s="18">
        <v>21013000000</v>
      </c>
      <c r="F6" s="6" t="s">
        <v>92</v>
      </c>
    </row>
    <row r="7" spans="1:6" x14ac:dyDescent="0.25">
      <c r="A7" t="s">
        <v>93</v>
      </c>
      <c r="B7" s="18">
        <v>7503000000</v>
      </c>
      <c r="C7" s="18">
        <v>7339000000</v>
      </c>
      <c r="D7" s="18">
        <v>7486000000</v>
      </c>
      <c r="E7" s="18">
        <v>6970000000</v>
      </c>
      <c r="F7" s="6" t="s">
        <v>94</v>
      </c>
    </row>
    <row r="8" spans="1:6" x14ac:dyDescent="0.25">
      <c r="A8" t="s">
        <v>95</v>
      </c>
      <c r="B8" s="18">
        <v>5217000000</v>
      </c>
      <c r="C8" s="18">
        <v>6207000000</v>
      </c>
      <c r="D8" s="18">
        <v>5013000000</v>
      </c>
      <c r="E8" s="18">
        <v>4009000000</v>
      </c>
      <c r="F8" s="6" t="s">
        <v>96</v>
      </c>
    </row>
    <row r="9" spans="1:6" x14ac:dyDescent="0.25">
      <c r="A9" t="s">
        <v>97</v>
      </c>
      <c r="B9" s="18">
        <v>12718000000</v>
      </c>
      <c r="C9" s="18">
        <v>-1837000000</v>
      </c>
      <c r="D9" s="18">
        <v>-2507000000</v>
      </c>
      <c r="E9" s="18">
        <v>4011000000</v>
      </c>
      <c r="F9" s="6" t="s">
        <v>98</v>
      </c>
    </row>
    <row r="10" spans="1:6" x14ac:dyDescent="0.25">
      <c r="A10" t="s">
        <v>99</v>
      </c>
      <c r="B10" s="18">
        <v>47933000000</v>
      </c>
      <c r="C10" s="18">
        <v>36634000000</v>
      </c>
      <c r="D10" s="18">
        <v>29332000000</v>
      </c>
      <c r="E10" s="18">
        <v>39642000000</v>
      </c>
      <c r="F10" s="6" t="s">
        <v>100</v>
      </c>
    </row>
    <row r="11" spans="1:6" x14ac:dyDescent="0.25">
      <c r="A11" t="s">
        <v>101</v>
      </c>
      <c r="B11" s="18">
        <v>20102000000</v>
      </c>
      <c r="C11" s="18">
        <v>24522000000</v>
      </c>
      <c r="D11" s="18">
        <v>22927000000</v>
      </c>
      <c r="E11" s="18">
        <v>22281000000</v>
      </c>
      <c r="F11" s="6" t="s">
        <v>102</v>
      </c>
    </row>
    <row r="12" spans="1:6" x14ac:dyDescent="0.25">
      <c r="A12" t="s">
        <v>34</v>
      </c>
      <c r="B12" s="34">
        <v>2429400000</v>
      </c>
      <c r="C12" s="34">
        <v>2429400000</v>
      </c>
      <c r="D12" s="34">
        <v>2560400000</v>
      </c>
      <c r="E12" s="34">
        <v>2663900000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