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<sst xmlns="http://schemas.openxmlformats.org/spreadsheetml/2006/main" count="113" uniqueCount="100">
  <si>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JPMorgan Chase &amp; Co. (JPM)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</si>
  <si>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</si>
  <si>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</si>
  <si>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</si>
  <si>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</si>
  <si>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</si>
  <si>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</si>
  <si>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</si>
  <si>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</si>
  <si>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</si>
  <si>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</si>
  <si>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</si>
  <si>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</si>
  <si>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</si>
  <si>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</si>
  <si>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</si>
  <si>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</si>
  <si>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</si>
  <si>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</si>
  <si>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</si>
  <si>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</si>
  <si>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</si>
  <si>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20.5%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</si>
  <si>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</si>
  <si>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</si>
  <si>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</si>
  <si>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</si>
  <si>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</si>
  <si>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</si>
  <si>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</si>
  <si>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</si>
  <si>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</si>
  <si>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</si>
  <si>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</si>
  <si>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</si>
  <si>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</si>
  <si>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</si>
  <si>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</si>
  <si>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</si>
  <si>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</si>
  <si>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</si>
  <si>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</si>
  <si>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</si>
  <si>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</si>
  <si>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</si>
  <si>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</si>
  <si>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</si>
  <si>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</si>
  <si>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</si>
  <si>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</si>
  <si>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</si>
  <si>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</si>
  <si>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</si>
  <si>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</si>
  <si>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</si>
  <si>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</si>
  <si>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</si>
  <si>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</si>
  <si>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</si>
  <si>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</si>
  <si>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</si>
  <si>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</si>
  <si>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</si>
  <si>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</si>
  <si>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</si>
  <si>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</si>
  <si>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</si>
  <si>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</si>
  <si>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</si>
  <si>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</si>
  <si>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</si>
  <si>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</si>
  <si>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</si>
  <si>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</si>
  <si>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</si>
  <si>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</si>
  <si>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</si>
  <si>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</si>
  <si>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</si>
  <si>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</si>
  <si>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</si>
  <si>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</si>
  <si>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</si>
  <si>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</si>
  <si>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</si>
  <si>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</si>
  <si>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</si>
  <si>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</si>
  <si>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</si>
  <si>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</si>
  <si>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</si>
  <si>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</si>
  <si>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</si>
  <si>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</si>
  <si>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</si>
  <si>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</si>
  <si>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</si>
  <si>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</si>
  <si>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4.98%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</si>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</sst>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0.12497052294076494</v>
      </c>
    </row>
    <row r="7" spans="1:2" x14ac:dyDescent="0.25">
      <c r="A7" t="s">
        <v>5</v>
      </c>
      <c r="B7" s="6">
        <v>0.40034677987298595</v>
      </c>
    </row>
    <row r="8" spans="1:2" x14ac:dyDescent="0.25">
      <c r="A8" t="s">
        <v>6</v>
      </c>
      <c r="B8" s="6">
        <v>0.20495092213554716</v>
      </c>
    </row>
    <row r="9" spans="1:2" x14ac:dyDescent="0.25">
      <c r="A9" t="s">
        <v>7</v>
      </c>
      <c r="B9" s="6">
        <v>0.04975993391642564</v>
      </c>
    </row>
    <row r="10" spans="1:2" x14ac:dyDescent="0.25">
      <c r="A10" t="s">
        <v>8</v>
      </c>
      <c r="B10" s="6">
        <v>0.04975993391642564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13.34052328819888</v>
      </c>
    </row>
    <row r="14" spans="1:3" x14ac:dyDescent="0.25">
      <c r="A14" t="s">
        <v>12</v>
      </c>
      <c r="B14" s="6">
        <v>0.08712258803933615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0.98325</v>
      </c>
      <c r="C19" s="8" t="s">
        <v>19</v>
      </c>
    </row>
    <row r="20" spans="1:2" x14ac:dyDescent="0.25">
      <c r="A20" t="s">
        <v>20</v>
      </c>
      <c r="B20" s="10">
        <f>B17+B19*B18</f>
        <v>0.10405875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929488044032</v>
      </c>
    </row>
    <row r="23" spans="1:2" x14ac:dyDescent="0.25">
      <c r="A23" t="s">
        <v>24</v>
      </c>
      <c r="B23" s="11">
        <v>499982000000</v>
      </c>
    </row>
    <row r="24" spans="1:2" x14ac:dyDescent="0.25">
      <c r="A24" t="s">
        <v>25</v>
      </c>
      <c r="B24" s="10">
        <f>B22/(B22+B23)</f>
        <v>0.6502326144661711</v>
      </c>
    </row>
    <row r="25" spans="1:2" x14ac:dyDescent="0.25">
      <c r="A25" t="s">
        <v>26</v>
      </c>
      <c r="B25" s="10">
        <f>1-B24</f>
        <v>0.3497673855338289</v>
      </c>
    </row>
    <row r="26" spans="1:2" x14ac:dyDescent="0.25">
      <c r="A26" t="s">
        <v>27</v>
      </c>
      <c r="B26" s="12">
        <f>B24*B20+B25*B21*(1-B8)</f>
        <v>0.08712258803933615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181847000000</v>
      </c>
      <c r="C29" s="8" t="s">
        <v>30</v>
      </c>
    </row>
    <row r="30" spans="1:2" x14ac:dyDescent="0.25">
      <c r="A30" t="s">
        <v>31</v>
      </c>
      <c r="B30" s="11">
        <v>156644000000</v>
      </c>
    </row>
    <row r="31" spans="1:2" x14ac:dyDescent="0.25">
      <c r="A31" t="s">
        <v>32</v>
      </c>
      <c r="B31" s="13">
        <v>2781500000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0.12497052294076494</v>
      </c>
      <c r="C5" s="10">
        <f>Assumptions!B6</f>
        <v>0.12497052294076494</v>
      </c>
      <c r="D5" s="10">
        <f>Assumptions!B6</f>
        <v>0.12497052294076494</v>
      </c>
      <c r="E5" s="10">
        <f>Assumptions!B6</f>
        <v>0.12497052294076494</v>
      </c>
      <c r="F5" s="10">
        <f>Assumptions!B6</f>
        <v>0.12497052294076494</v>
      </c>
    </row>
    <row r="6" spans="1:6" x14ac:dyDescent="0.25">
      <c r="A6" t="s">
        <v>43</v>
      </c>
      <c r="B6" s="18">
        <f>Assumptions!B29*(1+B5)</f>
        <v>204572514685.2093</v>
      </c>
      <c r="C6" s="18">
        <f>B6*(1+C5)</f>
        <v>230138048824.7272</v>
      </c>
      <c r="D6" s="18">
        <f>C6*(1+D5)</f>
        <v>258898521134.92065</v>
      </c>
      <c r="E6" s="18">
        <f>D6*(1+E5)</f>
        <v>291253204709.7424</v>
      </c>
      <c r="F6" s="18">
        <f>E6*(1+F5)</f>
        <v>327651270010.49255</v>
      </c>
    </row>
    <row r="7" spans="1:6" x14ac:dyDescent="0.25">
      <c r="A7" t="s">
        <v>5</v>
      </c>
      <c r="B7" s="10">
        <f>Assumptions!B7</f>
        <v>0.40034677987298595</v>
      </c>
      <c r="C7" s="10">
        <f>Assumptions!B7</f>
        <v>0.40034677987298595</v>
      </c>
      <c r="D7" s="10">
        <f>Assumptions!B7</f>
        <v>0.40034677987298595</v>
      </c>
      <c r="E7" s="10">
        <f>Assumptions!B7</f>
        <v>0.40034677987298595</v>
      </c>
      <c r="F7" s="10">
        <f>Assumptions!B7</f>
        <v>0.40034677987298595</v>
      </c>
    </row>
    <row r="8" spans="1:6" x14ac:dyDescent="0.25">
      <c r="A8" t="s">
        <v>44</v>
      </c>
      <c r="B8" s="18">
        <f>B6*B7</f>
        <v>81899947504.74268</v>
      </c>
      <c r="C8" s="18">
        <f>C6*C7</f>
        <v>92135026773.23155</v>
      </c>
      <c r="D8" s="18">
        <f>D6*D7</f>
        <v>103649189250.24368</v>
      </c>
      <c r="E8" s="18">
        <f>E6*E7</f>
        <v>116602282633.23294</v>
      </c>
      <c r="F8" s="18">
        <f>F6*F7</f>
        <v>131174130869.99495</v>
      </c>
    </row>
    <row r="9" spans="1:6" x14ac:dyDescent="0.25">
      <c r="A9" t="s">
        <v>45</v>
      </c>
      <c r="B9" s="18">
        <f>B8*(1-Assumptions!B8)</f>
        <v>65114477740.792755</v>
      </c>
      <c r="C9" s="18">
        <f>C8*(1-Assumptions!B8)</f>
        <v>73251868075.07442</v>
      </c>
      <c r="D9" s="18">
        <f>D8*(1-Assumptions!B8)</f>
        <v>82406192334.8044</v>
      </c>
      <c r="E9" s="18">
        <f>E8*(1-Assumptions!B8)</f>
        <v>92704537284.44215</v>
      </c>
      <c r="F9" s="18">
        <f>F8*(1-Assumptions!B8)</f>
        <v>104289871787.86053</v>
      </c>
    </row>
    <row r="10" spans="1:6" x14ac:dyDescent="0.25">
      <c r="A10" t="s">
        <v>46</v>
      </c>
      <c r="B10" s="18">
        <f>B6*Assumptions!B9</f>
        <v>10179514811.85303</v>
      </c>
      <c r="C10" s="18">
        <f>C6*Assumptions!B9</f>
        <v>11451654101.173563</v>
      </c>
      <c r="D10" s="18">
        <f>D6*Assumptions!B9</f>
        <v>12882773302.73398</v>
      </c>
      <c r="E10" s="18">
        <f>E6*Assumptions!B9</f>
        <v>14492740219.30397</v>
      </c>
      <c r="F10" s="18">
        <f>F6*Assumptions!B9</f>
        <v>16303905543.355045</v>
      </c>
    </row>
    <row r="11" spans="1:6" x14ac:dyDescent="0.25">
      <c r="A11" t="s">
        <v>47</v>
      </c>
      <c r="B11" s="18">
        <f>-B6*Assumptions!B10</f>
        <v>-10179514811.85303</v>
      </c>
      <c r="C11" s="18">
        <f>-C6*Assumptions!B10</f>
        <v>-11451654101.173563</v>
      </c>
      <c r="D11" s="18">
        <f>-D6*Assumptions!B10</f>
        <v>-12882773302.73398</v>
      </c>
      <c r="E11" s="18">
        <f>-E6*Assumptions!B10</f>
        <v>-14492740219.30397</v>
      </c>
      <c r="F11" s="18">
        <f>-F6*Assumptions!B10</f>
        <v>-16303905543.355045</v>
      </c>
    </row>
    <row r="12" spans="1:6" x14ac:dyDescent="0.25">
      <c r="A12" t="s">
        <v>48</v>
      </c>
      <c r="B12" s="18">
        <f>-(B6-Assumptions!B29)*Assumptions!B11</f>
        <v>-22725514685.20929</v>
      </c>
      <c r="C12" s="18">
        <f>-(C6-B6)*Assumptions!B11</f>
        <v>-25565534139.517914</v>
      </c>
      <c r="D12" s="18">
        <f>-(D6-C6)*Assumptions!B11</f>
        <v>-28760472310.19345</v>
      </c>
      <c r="E12" s="18">
        <f>-(E6-D6)*Assumptions!B11</f>
        <v>-32354683574.821716</v>
      </c>
      <c r="F12" s="18">
        <f>-(F6-E6)*Assumptions!B11</f>
        <v>-36398065300.75018</v>
      </c>
    </row>
    <row r="13" spans="1:6" x14ac:dyDescent="0.25">
      <c r="A13" s="19" t="s">
        <v>49</v>
      </c>
      <c r="B13" s="20">
        <f>B9+B10+B11+B12</f>
        <v>42388963055.583466</v>
      </c>
      <c r="C13" s="20">
        <f>C9+C10+C11+C12</f>
        <v>47686333935.5565</v>
      </c>
      <c r="D13" s="20">
        <f>D9+D10+D11+D12</f>
        <v>53645720024.61095</v>
      </c>
      <c r="E13" s="20">
        <f>E9+E10+E11+E12</f>
        <v>60349853709.62044</v>
      </c>
      <c r="F13" s="20">
        <f>F9+F10+F11+F12</f>
        <v>67891806487.11035</v>
      </c>
    </row>
    <row r="14" spans="1:6" x14ac:dyDescent="0.25">
      <c r="A14" t="s">
        <v>50</v>
      </c>
      <c r="B14" s="21">
        <f>1/(1+Assumptions!$B$26)^(1-0.5*Assumptions!$B$32)</f>
        <v>0.9590930418655407</v>
      </c>
      <c r="C14" s="21">
        <f>1/(1+Assumptions!$B$26)^(2-0.5*Assumptions!$B$32)</f>
        <v>0.8822308104142134</v>
      </c>
      <c r="D14" s="21">
        <f>1/(1+Assumptions!$B$26)^(3-0.5*Assumptions!$B$32)</f>
        <v>0.8115283594698804</v>
      </c>
      <c r="E14" s="21">
        <f>1/(1+Assumptions!$B$26)^(4-0.5*Assumptions!$B$32)</f>
        <v>0.7464920409146316</v>
      </c>
      <c r="F14" s="21">
        <f>1/(1+Assumptions!$B$26)^(5-0.5*Assumptions!$B$32)</f>
        <v>0.686667767855837</v>
      </c>
    </row>
    <row r="15" spans="1:6" x14ac:dyDescent="0.25">
      <c r="A15" s="19" t="s">
        <v>51</v>
      </c>
      <c r="B15" s="20">
        <f>B13*B14</f>
        <v>40654959518.50557</v>
      </c>
      <c r="C15" s="20">
        <f>C13*C14</f>
        <v>42070353033.64882</v>
      </c>
      <c r="D15" s="20">
        <f>D13*D14</f>
        <v>43535023164.15304</v>
      </c>
      <c r="E15" s="20">
        <f>E13*E14</f>
        <v>45050685464.59401</v>
      </c>
      <c r="F15" s="20">
        <f>F13*F14</f>
        <v>46619115216.204506</v>
      </c>
    </row>
    <row r="17" spans="1:2" x14ac:dyDescent="0.25">
      <c r="A17" s="22" t="s">
        <v>52</v>
      </c>
      <c r="B17" s="23">
        <f>SUM(B15:F15)</f>
        <v>217930136397.10593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67891806487.11035</v>
      </c>
    </row>
    <row r="5" spans="1:2" x14ac:dyDescent="0.25">
      <c r="A5" t="s">
        <v>56</v>
      </c>
      <c r="B5" s="18">
        <f>IF(Assumptions!$B$33=0,B4,B4-Forecast!F11-Forecast!F10-Forecast!F12)</f>
        <v>104289871787.86053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0.2869519898641259</v>
      </c>
    </row>
    <row r="7" spans="1:2" x14ac:dyDescent="0.25">
      <c r="A7" t="s">
        <v>58</v>
      </c>
      <c r="B7" s="18">
        <f>-MAX(Forecast!F9,0)*B6</f>
        <v>-29926186232.201145</v>
      </c>
    </row>
    <row r="8" spans="1:2" x14ac:dyDescent="0.25">
      <c r="A8" t="s">
        <v>59</v>
      </c>
      <c r="B8" s="18">
        <f>IF(OR(Assumptions!$B$33=0,Assumptions!B12&lt;=0),B5,MAX(B5+B7,0))</f>
        <v>74363685555.6594</v>
      </c>
    </row>
    <row r="9" spans="1:2" x14ac:dyDescent="0.25">
      <c r="A9" t="s">
        <v>60</v>
      </c>
      <c r="B9" s="18">
        <f>B8*(1+Assumptions!B12)/(Assumptions!B26-Assumptions!B12)</f>
        <v>1226973635520.2468</v>
      </c>
    </row>
    <row r="10" spans="1:2" x14ac:dyDescent="0.25">
      <c r="A10" t="s">
        <v>61</v>
      </c>
      <c r="B10" s="18">
        <f>B9/(1+Assumptions!B26)^(5-0.5*Assumptions!B32)</f>
        <v>842523247520.6493</v>
      </c>
    </row>
    <row r="11" spans="1:2" x14ac:dyDescent="0.25">
      <c r="A11" t="s">
        <v>62</v>
      </c>
      <c r="B11" s="18">
        <f>Forecast!B17+B10</f>
        <v>1060453383917.7552</v>
      </c>
    </row>
    <row r="12" spans="1:2" x14ac:dyDescent="0.25">
      <c r="A12" t="s">
        <v>63</v>
      </c>
      <c r="B12" s="18">
        <f>-Assumptions!B30</f>
        <v>-156644000000</v>
      </c>
    </row>
    <row r="13" spans="1:2" x14ac:dyDescent="0.25">
      <c r="A13" t="s">
        <v>64</v>
      </c>
      <c r="B13" s="18">
        <f>B11+B12</f>
        <v>903809383917.7552</v>
      </c>
    </row>
    <row r="14" spans="1:2" x14ac:dyDescent="0.25">
      <c r="A14" s="19" t="s">
        <v>65</v>
      </c>
      <c r="B14" s="24">
        <f>B13/Assumptions!B31</f>
        <v>324.93596401860697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147478036413.35</v>
      </c>
    </row>
    <row r="18" spans="1:2" x14ac:dyDescent="0.25">
      <c r="A18" t="s">
        <v>60</v>
      </c>
      <c r="B18" s="18">
        <f>B17*Assumptions!B13</f>
        <v>1967434179270.138</v>
      </c>
    </row>
    <row r="19" spans="1:2" x14ac:dyDescent="0.25">
      <c r="A19" t="s">
        <v>61</v>
      </c>
      <c r="B19" s="18">
        <f>B18/(1+Assumptions!B26)^(5-0.5*Assumptions!B32)</f>
        <v>1350973636282.7063</v>
      </c>
    </row>
    <row r="20" spans="1:2" x14ac:dyDescent="0.25">
      <c r="A20" t="s">
        <v>62</v>
      </c>
      <c r="B20" s="18">
        <f>Forecast!B17+B19</f>
        <v>1568903772679.8123</v>
      </c>
    </row>
    <row r="21" spans="1:2" x14ac:dyDescent="0.25">
      <c r="A21" t="s">
        <v>63</v>
      </c>
      <c r="B21" s="18">
        <f>-Assumptions!B30</f>
        <v>-156644000000</v>
      </c>
    </row>
    <row r="22" spans="1:2" x14ac:dyDescent="0.25">
      <c r="A22" t="s">
        <v>64</v>
      </c>
      <c r="B22" s="18">
        <f>B20+B21</f>
        <v>1412259772679.8123</v>
      </c>
    </row>
    <row r="23" spans="1:2" x14ac:dyDescent="0.25">
      <c r="A23" s="19" t="s">
        <v>65</v>
      </c>
      <c r="B23" s="25">
        <f>B22/Assumptions!B31</f>
        <v>507.7331557360461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349.67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324.93596401860697</v>
      </c>
    </row>
    <row r="29" spans="1:2" x14ac:dyDescent="0.25">
      <c r="A29" s="19" t="s">
        <v>73</v>
      </c>
      <c r="B29" s="12">
        <f>B28/B26-1</f>
        <v>-0.07073536757912613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0.067123</v>
      </c>
      <c r="B5" s="31">
        <v>449.79720519569696</v>
      </c>
      <c r="C5" s="31">
        <v>452.2015927406828</v>
      </c>
      <c r="D5" s="31">
        <v>454.68450643975365</v>
      </c>
      <c r="E5" s="31">
        <v>457.2776757412647</v>
      </c>
      <c r="F5" s="31">
        <v>460.0325850656184</v>
      </c>
    </row>
    <row r="6" spans="1:6" x14ac:dyDescent="0.25">
      <c r="A6" s="30">
        <v>0.077123</v>
      </c>
      <c r="B6" s="31">
        <v>377.1470618095761</v>
      </c>
      <c r="C6" s="31">
        <v>378.8870860991873</v>
      </c>
      <c r="D6" s="31">
        <v>380.6271103887981</v>
      </c>
      <c r="E6" s="31">
        <v>382.3671346784092</v>
      </c>
      <c r="F6" s="31">
        <v>384.1071589680201</v>
      </c>
    </row>
    <row r="7" spans="1:6" x14ac:dyDescent="0.25">
      <c r="A7" s="30">
        <v>0.087123</v>
      </c>
      <c r="B7" s="31">
        <v>321.9788118337377</v>
      </c>
      <c r="C7" s="31">
        <v>323.45637539953395</v>
      </c>
      <c r="D7" s="32">
        <v>324.93393896533</v>
      </c>
      <c r="E7" s="31">
        <v>326.41150253112613</v>
      </c>
      <c r="F7" s="31">
        <v>327.8890660969222</v>
      </c>
    </row>
    <row r="8" spans="1:6" x14ac:dyDescent="0.25">
      <c r="A8" s="30">
        <v>0.097123</v>
      </c>
      <c r="B8" s="31">
        <v>278.4198018254535</v>
      </c>
      <c r="C8" s="31">
        <v>279.6917284151852</v>
      </c>
      <c r="D8" s="31">
        <v>280.963655004917</v>
      </c>
      <c r="E8" s="31">
        <v>282.2355815946487</v>
      </c>
      <c r="F8" s="31">
        <v>283.50750818438036</v>
      </c>
    </row>
    <row r="9" spans="1:6" x14ac:dyDescent="0.25">
      <c r="A9" s="30">
        <v>0.107123</v>
      </c>
      <c r="B9" s="31">
        <v>243.20630980973874</v>
      </c>
      <c r="C9" s="31">
        <v>244.31336409609915</v>
      </c>
      <c r="D9" s="31">
        <v>245.42041838245956</v>
      </c>
      <c r="E9" s="31">
        <v>246.52747266881997</v>
      </c>
      <c r="F9" s="31">
        <v>247.63452695518038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181847000000</v>
      </c>
      <c r="C5" s="18">
        <v>169439000000</v>
      </c>
      <c r="D5" s="18">
        <v>154952000000</v>
      </c>
      <c r="E5" s="18">
        <v>127727000000</v>
      </c>
      <c r="F5" s="8" t="s">
        <v>84</v>
      </c>
    </row>
    <row r="6" spans="1:6" x14ac:dyDescent="0.25">
      <c r="A6" t="s">
        <v>44</v>
      </c>
      <c r="B6" s="18">
        <v>72595000000</v>
      </c>
      <c r="C6" s="18">
        <v>75081000000</v>
      </c>
      <c r="D6" s="18">
        <v>61612000000</v>
      </c>
      <c r="E6" s="18">
        <v>46166000000</v>
      </c>
      <c r="F6" s="8" t="s">
        <v>85</v>
      </c>
    </row>
    <row r="7" spans="1:6" x14ac:dyDescent="0.25">
      <c r="A7" t="s">
        <v>86</v>
      </c>
      <c r="B7" s="18">
        <v>8821000000</v>
      </c>
      <c r="C7" s="18">
        <v>7938000000</v>
      </c>
      <c r="D7" s="18">
        <v>7512000000</v>
      </c>
      <c r="E7" s="18">
        <v>7051000000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218801000000</v>
      </c>
      <c r="C9" s="18">
        <v>114220000000</v>
      </c>
      <c r="D9" s="18">
        <v>56168000000</v>
      </c>
      <c r="E9" s="18">
        <v>-32686000000</v>
      </c>
      <c r="F9" s="8" t="s">
        <v>90</v>
      </c>
    </row>
    <row r="10" spans="1:6" x14ac:dyDescent="0.25">
      <c r="A10" t="s">
        <v>91</v>
      </c>
      <c r="B10" s="18">
        <v>499982000000</v>
      </c>
      <c r="C10" s="18">
        <v>454311000000</v>
      </c>
      <c r="D10" s="18">
        <v>436537000000</v>
      </c>
      <c r="E10" s="18">
        <v>339892000000</v>
      </c>
      <c r="F10" s="8" t="s">
        <v>92</v>
      </c>
    </row>
    <row r="11" spans="1:6" x14ac:dyDescent="0.25">
      <c r="A11" t="s">
        <v>93</v>
      </c>
      <c r="B11" s="18">
        <v>343338000000</v>
      </c>
      <c r="C11" s="18">
        <v>469317000000</v>
      </c>
      <c r="D11" s="18">
        <v>624151000000</v>
      </c>
      <c r="E11" s="18">
        <v>567234000000</v>
      </c>
      <c r="F11" s="8" t="s">
        <v>94</v>
      </c>
    </row>
    <row r="12" spans="1:6" x14ac:dyDescent="0.25">
      <c r="A12" t="s">
        <v>32</v>
      </c>
      <c r="B12" s="34">
        <v>2781500000</v>
      </c>
      <c r="C12" s="34">
        <v>2879000000</v>
      </c>
      <c r="D12" s="34">
        <v>2943100000</v>
      </c>
      <c r="E12" s="34">
        <v>2970000000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