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<sst xmlns="http://schemas.openxmlformats.org/spreadsheetml/2006/main" count="113" uniqueCount="101">
  <si>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JSW Steel Limited (JSWSTEEL.NS)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</si>
  <si>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</si>
  <si>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</si>
  <si>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</si>
  <si>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</si>
  <si>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</si>
  <si>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</si>
  <si>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</si>
  <si>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</si>
  <si>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</si>
  <si>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</si>
  <si>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</si>
  <si>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</si>
  <si>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</si>
  <si>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</si>
  <si>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</si>
  <si>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</si>
  <si>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</si>
  <si>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</si>
  <si>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</si>
  <si>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</si>
  <si>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</si>
  <si>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</si>
  <si>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</si>
  <si>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</si>
  <si>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</si>
  <si>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</si>
  <si>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</si>
  <si>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</si>
  <si>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</si>
  <si>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</si>
  <si>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</si>
  <si>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</si>
  <si>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</si>
  <si>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</si>
  <si>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</si>
  <si>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</si>
  <si>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</si>
  <si>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</si>
  <si>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</si>
  <si>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</si>
  <si>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</si>
  <si>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</si>
  <si>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</si>
  <si>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</si>
  <si>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</si>
  <si>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</si>
  <si>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</si>
  <si>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</si>
  <si>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</si>
  <si>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</si>
  <si>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</si>
  <si>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</si>
  <si>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</si>
  <si>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</si>
  <si>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</si>
  <si>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</si>
  <si>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</si>
  <si>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</si>
  <si>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</si>
  <si>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</si>
  <si>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</si>
  <si>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</si>
  <si>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</si>
  <si>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</si>
  <si>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</si>
  <si>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</si>
  <si>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</si>
  <si>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</si>
  <si>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</si>
  <si>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</si>
  <si>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</si>
  <si>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</si>
  <si>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</si>
  <si>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</si>
  <si>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</si>
  <si>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</si>
  <si>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</si>
  <si>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</si>
  <si>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</si>
  <si>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</si>
  <si>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</si>
  <si>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</si>
  <si>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</si>
  <si>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</si>
  <si>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</si>
  <si>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</si>
  <si>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</si>
  <si>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</si>
  <si>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</si>
  <si>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</si>
  <si>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</si>
  <si>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</si>
  <si>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</si>
  <si>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</si>
  <si>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</si>
  <si>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</si>
  <si>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</si>
  <si>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8.5% of revenue against depreciation of 5.0%.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</si>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</sst>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0.03613916948222462</v>
      </c>
    </row>
    <row r="7" spans="1:2" x14ac:dyDescent="0.25">
      <c r="A7" t="s">
        <v>5</v>
      </c>
      <c r="B7" s="6">
        <v>0.10310152259105905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0.05041206856708441</v>
      </c>
    </row>
    <row r="10" spans="1:2" x14ac:dyDescent="0.25">
      <c r="A10" t="s">
        <v>8</v>
      </c>
      <c r="B10" s="6">
        <v>0.08465016811911955</v>
      </c>
    </row>
    <row r="11" spans="1:2" x14ac:dyDescent="0.25">
      <c r="A11" t="s">
        <v>9</v>
      </c>
      <c r="B11" s="6">
        <v>0.239813736903376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11.558646964705883</v>
      </c>
    </row>
    <row r="14" spans="1:3" x14ac:dyDescent="0.25">
      <c r="A14" t="s">
        <v>12</v>
      </c>
      <c r="B14" s="6">
        <v>0.10700989235954728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0.7500899999999999</v>
      </c>
      <c r="C19" s="8" t="s">
        <v>19</v>
      </c>
    </row>
    <row r="20" spans="1:2" x14ac:dyDescent="0.25">
      <c r="A20" t="s">
        <v>20</v>
      </c>
      <c r="B20" s="10">
        <f>B17+B19*B18</f>
        <v>0.1280072</v>
      </c>
    </row>
    <row r="21" spans="1:3" x14ac:dyDescent="0.25">
      <c r="A21" t="s">
        <v>21</v>
      </c>
      <c r="B21" s="6">
        <v>0.06965980000083928</v>
      </c>
      <c r="C21" s="8" t="s">
        <v>22</v>
      </c>
    </row>
    <row r="22" spans="1:2" x14ac:dyDescent="0.25">
      <c r="A22" t="s">
        <v>23</v>
      </c>
      <c r="B22" s="11">
        <v>3113711828992</v>
      </c>
    </row>
    <row r="23" spans="1:2" x14ac:dyDescent="0.25">
      <c r="A23" t="s">
        <v>24</v>
      </c>
      <c r="B23" s="11">
        <v>1190790000000</v>
      </c>
    </row>
    <row r="24" spans="1:2" x14ac:dyDescent="0.25">
      <c r="A24" t="s">
        <v>25</v>
      </c>
      <c r="B24" s="10">
        <f>B22/(B22+B23)</f>
        <v>0.7233617158715783</v>
      </c>
    </row>
    <row r="25" spans="1:2" x14ac:dyDescent="0.25">
      <c r="A25" t="s">
        <v>26</v>
      </c>
      <c r="B25" s="10">
        <f>1-B24</f>
        <v>0.27663828412842173</v>
      </c>
    </row>
    <row r="26" spans="1:2" x14ac:dyDescent="0.25">
      <c r="A26" t="s">
        <v>27</v>
      </c>
      <c r="B26" s="12">
        <f>B24*B20+B25*B21*(1-B8)</f>
        <v>0.10700989235954728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1820370000000</v>
      </c>
      <c r="C29" s="8" t="s">
        <v>30</v>
      </c>
    </row>
    <row r="30" spans="1:2" x14ac:dyDescent="0.25">
      <c r="A30" t="s">
        <v>31</v>
      </c>
      <c r="B30" s="11">
        <v>694400000000</v>
      </c>
    </row>
    <row r="31" spans="1:2" x14ac:dyDescent="0.25">
      <c r="A31" t="s">
        <v>32</v>
      </c>
      <c r="B31" s="13">
        <v>2445453966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0.03613916948222462</v>
      </c>
      <c r="C5" s="10">
        <f>Assumptions!B6</f>
        <v>0.03613916948222462</v>
      </c>
      <c r="D5" s="10">
        <f>Assumptions!B6</f>
        <v>0.03613916948222462</v>
      </c>
      <c r="E5" s="10">
        <f>Assumptions!B6</f>
        <v>0.03613916948222462</v>
      </c>
      <c r="F5" s="10">
        <f>Assumptions!B6</f>
        <v>0.03613916948222462</v>
      </c>
    </row>
    <row r="6" spans="1:6" x14ac:dyDescent="0.25">
      <c r="A6" t="s">
        <v>43</v>
      </c>
      <c r="B6" s="18">
        <f>Assumptions!B29*(1+B5)</f>
        <v>1886156659950.3572</v>
      </c>
      <c r="C6" s="18">
        <f>B6*(1+C5)</f>
        <v>1954320795154.3298</v>
      </c>
      <c r="D6" s="18">
        <f>C6*(1+D5)</f>
        <v>2024948325593.048</v>
      </c>
      <c r="E6" s="18">
        <f>D6*(1+E5)</f>
        <v>2098128276324.4023</v>
      </c>
      <c r="F6" s="18">
        <f>E6*(1+F5)</f>
        <v>2173952889697.9377</v>
      </c>
    </row>
    <row r="7" spans="1:6" x14ac:dyDescent="0.25">
      <c r="A7" t="s">
        <v>5</v>
      </c>
      <c r="B7" s="10">
        <f>Assumptions!B7</f>
        <v>0.10310152259105905</v>
      </c>
      <c r="C7" s="10">
        <f>Assumptions!B7</f>
        <v>0.10310152259105905</v>
      </c>
      <c r="D7" s="10">
        <f>Assumptions!B7</f>
        <v>0.10310152259105905</v>
      </c>
      <c r="E7" s="10">
        <f>Assumptions!B7</f>
        <v>0.10310152259105905</v>
      </c>
      <c r="F7" s="10">
        <f>Assumptions!B7</f>
        <v>0.10310152259105905</v>
      </c>
    </row>
    <row r="8" spans="1:6" x14ac:dyDescent="0.25">
      <c r="A8" t="s">
        <v>44</v>
      </c>
      <c r="B8" s="18">
        <f>B6*B7</f>
        <v>194465623486.14822</v>
      </c>
      <c r="C8" s="18">
        <f>C6*C7</f>
        <v>201493449611.7806</v>
      </c>
      <c r="D8" s="18">
        <f>D6*D7</f>
        <v>208775255536.85886</v>
      </c>
      <c r="E8" s="18">
        <f>E6*E7</f>
        <v>216320219880.40015</v>
      </c>
      <c r="F8" s="18">
        <f>F6*F7</f>
        <v>224137852969.09003</v>
      </c>
    </row>
    <row r="9" spans="1:6" x14ac:dyDescent="0.25">
      <c r="A9" t="s">
        <v>45</v>
      </c>
      <c r="B9" s="18">
        <f>B8*(1-Assumptions!B8)</f>
        <v>145460286367.6389</v>
      </c>
      <c r="C9" s="18">
        <f>C8*(1-Assumptions!B8)</f>
        <v>150717100309.6119</v>
      </c>
      <c r="D9" s="18">
        <f>D8*(1-Assumptions!B8)</f>
        <v>156163891141.57043</v>
      </c>
      <c r="E9" s="18">
        <f>E8*(1-Assumptions!B8)</f>
        <v>161807524470.5393</v>
      </c>
      <c r="F9" s="18">
        <f>F8*(1-Assumptions!B8)</f>
        <v>167655114020.87933</v>
      </c>
    </row>
    <row r="10" spans="1:6" x14ac:dyDescent="0.25">
      <c r="A10" t="s">
        <v>46</v>
      </c>
      <c r="B10" s="18">
        <f>B6*Assumptions!B9</f>
        <v>95085058869.68033</v>
      </c>
      <c r="C10" s="18">
        <f>C6*Assumptions!B9</f>
        <v>98521353927.399</v>
      </c>
      <c r="D10" s="18">
        <f>D6*Assumptions!B9</f>
        <v>102081833834.59952</v>
      </c>
      <c r="E10" s="18">
        <f>E6*Assumptions!B9</f>
        <v>105770986528.6044</v>
      </c>
      <c r="F10" s="18">
        <f>F6*Assumptions!B9</f>
        <v>109593462137.06374</v>
      </c>
    </row>
    <row r="11" spans="1:6" x14ac:dyDescent="0.25">
      <c r="A11" t="s">
        <v>47</v>
      </c>
      <c r="B11" s="18">
        <f>-B6*Assumptions!B10</f>
        <v>-159663478363.79474</v>
      </c>
      <c r="C11" s="18">
        <f>-C6*Assumptions!B10</f>
        <v>-165433583868.5054</v>
      </c>
      <c r="D11" s="18">
        <f>-D6*Assumptions!B10</f>
        <v>-171412216193.98114</v>
      </c>
      <c r="E11" s="18">
        <f>-E6*Assumptions!B10</f>
        <v>-177606911326.33917</v>
      </c>
      <c r="F11" s="18">
        <f>-F6*Assumptions!B10</f>
        <v>-184025477595.97617</v>
      </c>
    </row>
    <row r="12" spans="1:6" x14ac:dyDescent="0.25">
      <c r="A12" t="s">
        <v>48</v>
      </c>
      <c r="B12" s="18">
        <f>-(B6-Assumptions!B29)*Assumptions!B11</f>
        <v>-15776544761.08682</v>
      </c>
      <c r="C12" s="18">
        <f>-(C6-B6)*Assumptions!B11</f>
        <v>-16346695986.05165</v>
      </c>
      <c r="D12" s="18">
        <f>-(D6-C6)*Assumptions!B11</f>
        <v>-16937452002.765963</v>
      </c>
      <c r="E12" s="18">
        <f>-(E6-D6)*Assumptions!B11</f>
        <v>-17549557451.291008</v>
      </c>
      <c r="F12" s="18">
        <f>-(F6-E6)*Assumptions!B11</f>
        <v>-18183783882.361225</v>
      </c>
    </row>
    <row r="13" spans="1:6" x14ac:dyDescent="0.25">
      <c r="A13" s="19" t="s">
        <v>49</v>
      </c>
      <c r="B13" s="20">
        <f>B9+B10+B11+B12</f>
        <v>65105322112.43765</v>
      </c>
      <c r="C13" s="20">
        <f>C9+C10+C11+C12</f>
        <v>67458174382.45387</v>
      </c>
      <c r="D13" s="20">
        <f>D9+D10+D11+D12</f>
        <v>69896056779.42285</v>
      </c>
      <c r="E13" s="20">
        <f>E9+E10+E11+E12</f>
        <v>72422042221.51352</v>
      </c>
      <c r="F13" s="20">
        <f>F9+F10+F11+F12</f>
        <v>75039314679.60567</v>
      </c>
    </row>
    <row r="14" spans="1:6" x14ac:dyDescent="0.25">
      <c r="A14" t="s">
        <v>50</v>
      </c>
      <c r="B14" s="21">
        <f>1/(1+Assumptions!$B$26)^(1-0.5*Assumptions!$B$32)</f>
        <v>0.9504390008792691</v>
      </c>
      <c r="C14" s="21">
        <f>1/(1+Assumptions!$B$26)^(2-0.5*Assumptions!$B$32)</f>
        <v>0.8585641442222764</v>
      </c>
      <c r="D14" s="21">
        <f>1/(1+Assumptions!$B$26)^(3-0.5*Assumptions!$B$32)</f>
        <v>0.7755704354116307</v>
      </c>
      <c r="E14" s="21">
        <f>1/(1+Assumptions!$B$26)^(4-0.5*Assumptions!$B$32)</f>
        <v>0.7005993720241591</v>
      </c>
      <c r="F14" s="21">
        <f>1/(1+Assumptions!$B$26)^(5-0.5*Assumptions!$B$32)</f>
        <v>0.6328754393791907</v>
      </c>
    </row>
    <row r="15" spans="1:6" x14ac:dyDescent="0.25">
      <c r="A15" s="19" t="s">
        <v>51</v>
      </c>
      <c r="B15" s="20">
        <f>B13*B14</f>
        <v>61878637300.46823</v>
      </c>
      <c r="C15" s="20">
        <f>C13*C14</f>
        <v>57917169759.468605</v>
      </c>
      <c r="D15" s="20">
        <f>D13*D14</f>
        <v>54209315189.973045</v>
      </c>
      <c r="E15" s="20">
        <f>E13*E14</f>
        <v>50738837301.09951</v>
      </c>
      <c r="F15" s="20">
        <f>F13*F14</f>
        <v>47490539248.56879</v>
      </c>
    </row>
    <row r="17" spans="1:2" x14ac:dyDescent="0.25">
      <c r="A17" s="22" t="s">
        <v>52</v>
      </c>
      <c r="B17" s="23">
        <f>SUM(B15:F15)</f>
        <v>272234498799.5782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75039314679.60567</v>
      </c>
    </row>
    <row r="5" spans="1:2" x14ac:dyDescent="0.25">
      <c r="A5" t="s">
        <v>56</v>
      </c>
      <c r="B5" s="18">
        <f>IF(Assumptions!$B$33=0,B4,B4-Forecast!F11-Forecast!F10-Forecast!F12)</f>
        <v>168463599348.84738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0.23362326088509083</v>
      </c>
    </row>
    <row r="7" spans="1:2" x14ac:dyDescent="0.25">
      <c r="A7" t="s">
        <v>58</v>
      </c>
      <c r="B7" s="18">
        <f>-MAX(Forecast!F9,0)*B6</f>
        <v>-39357015420.31719</v>
      </c>
    </row>
    <row r="8" spans="1:2" x14ac:dyDescent="0.25">
      <c r="A8" t="s">
        <v>59</v>
      </c>
      <c r="B8" s="18">
        <f>IF(OR(Assumptions!$B$33=0,Assumptions!B12&lt;=0),B5,MAX(B5+B7,0))</f>
        <v>129106583928.53018</v>
      </c>
    </row>
    <row r="9" spans="1:2" x14ac:dyDescent="0.25">
      <c r="A9" t="s">
        <v>60</v>
      </c>
      <c r="B9" s="18">
        <f>B8*(1+Assumptions!B12)/(Assumptions!B26-Assumptions!B12)</f>
        <v>1613637632233.0042</v>
      </c>
    </row>
    <row r="10" spans="1:2" x14ac:dyDescent="0.25">
      <c r="A10" t="s">
        <v>61</v>
      </c>
      <c r="B10" s="18">
        <f>B9/(1+Assumptions!B26)^(5-0.5*Assumptions!B32)</f>
        <v>1021231625498.2594</v>
      </c>
    </row>
    <row r="11" spans="1:2" x14ac:dyDescent="0.25">
      <c r="A11" t="s">
        <v>62</v>
      </c>
      <c r="B11" s="18">
        <f>Forecast!B17+B10</f>
        <v>1293466124297.8376</v>
      </c>
    </row>
    <row r="12" spans="1:2" x14ac:dyDescent="0.25">
      <c r="A12" t="s">
        <v>63</v>
      </c>
      <c r="B12" s="18">
        <f>-Assumptions!B30</f>
        <v>-694400000000</v>
      </c>
    </row>
    <row r="13" spans="1:2" x14ac:dyDescent="0.25">
      <c r="A13" t="s">
        <v>64</v>
      </c>
      <c r="B13" s="18">
        <f>B11+B12</f>
        <v>599066124297.8376</v>
      </c>
    </row>
    <row r="14" spans="1:2" x14ac:dyDescent="0.25">
      <c r="A14" s="19" t="s">
        <v>65</v>
      </c>
      <c r="B14" s="24">
        <f>B13/Assumptions!B31</f>
        <v>244.97133564027908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333731315106.15375</v>
      </c>
    </row>
    <row r="18" spans="1:2" x14ac:dyDescent="0.25">
      <c r="A18" t="s">
        <v>60</v>
      </c>
      <c r="B18" s="18">
        <f>B17*Assumptions!B13</f>
        <v>3857482452379.0464</v>
      </c>
    </row>
    <row r="19" spans="1:2" x14ac:dyDescent="0.25">
      <c r="A19" t="s">
        <v>61</v>
      </c>
      <c r="B19" s="18">
        <f>B18/(1+Assumptions!B26)^(5-0.5*Assumptions!B32)</f>
        <v>2441305901946.9067</v>
      </c>
    </row>
    <row r="20" spans="1:2" x14ac:dyDescent="0.25">
      <c r="A20" t="s">
        <v>62</v>
      </c>
      <c r="B20" s="18">
        <f>Forecast!B17+B19</f>
        <v>2713540400746.485</v>
      </c>
    </row>
    <row r="21" spans="1:2" x14ac:dyDescent="0.25">
      <c r="A21" t="s">
        <v>63</v>
      </c>
      <c r="B21" s="18">
        <f>-Assumptions!B30</f>
        <v>-694400000000</v>
      </c>
    </row>
    <row r="22" spans="1:2" x14ac:dyDescent="0.25">
      <c r="A22" t="s">
        <v>64</v>
      </c>
      <c r="B22" s="18">
        <f>B20+B21</f>
        <v>2019140400746.4849</v>
      </c>
    </row>
    <row r="23" spans="1:2" x14ac:dyDescent="0.25">
      <c r="A23" s="19" t="s">
        <v>65</v>
      </c>
      <c r="B23" s="25">
        <f>B22/Assumptions!B31</f>
        <v>825.6709914884102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1275.6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244.97133564027908</v>
      </c>
    </row>
    <row r="29" spans="1:2" x14ac:dyDescent="0.25">
      <c r="A29" s="19" t="s">
        <v>73</v>
      </c>
      <c r="B29" s="12">
        <f>B28/B26-1</f>
        <v>-0.8079559927561312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0.08701</v>
      </c>
      <c r="B5" s="31">
        <v>384.3848525922128</v>
      </c>
      <c r="C5" s="31">
        <v>387.1043991101748</v>
      </c>
      <c r="D5" s="31">
        <v>389.82394562813647</v>
      </c>
      <c r="E5" s="31">
        <v>392.54349214609834</v>
      </c>
      <c r="F5" s="31">
        <v>395.26303866406016</v>
      </c>
    </row>
    <row r="6" spans="1:6" x14ac:dyDescent="0.25">
      <c r="A6" s="30">
        <v>0.09701</v>
      </c>
      <c r="B6" s="31">
        <v>304.96386739308133</v>
      </c>
      <c r="C6" s="31">
        <v>307.3046034446404</v>
      </c>
      <c r="D6" s="31">
        <v>309.64533949619937</v>
      </c>
      <c r="E6" s="31">
        <v>311.9860755477582</v>
      </c>
      <c r="F6" s="31">
        <v>314.326811599317</v>
      </c>
    </row>
    <row r="7" spans="1:6" x14ac:dyDescent="0.25">
      <c r="A7" s="30">
        <v>0.10701</v>
      </c>
      <c r="B7" s="31">
        <v>240.89652666597502</v>
      </c>
      <c r="C7" s="31">
        <v>242.93361694201494</v>
      </c>
      <c r="D7" s="32">
        <v>244.97070721805486</v>
      </c>
      <c r="E7" s="31">
        <v>247.00779749409486</v>
      </c>
      <c r="F7" s="31">
        <v>249.04488777013478</v>
      </c>
    </row>
    <row r="8" spans="1:6" x14ac:dyDescent="0.25">
      <c r="A8" s="30">
        <v>0.11701</v>
      </c>
      <c r="B8" s="31">
        <v>188.2196406923147</v>
      </c>
      <c r="C8" s="31">
        <v>190.0087498281814</v>
      </c>
      <c r="D8" s="31">
        <v>191.79785896404803</v>
      </c>
      <c r="E8" s="31">
        <v>193.58696809991486</v>
      </c>
      <c r="F8" s="31">
        <v>195.37607723578148</v>
      </c>
    </row>
    <row r="9" spans="1:6" x14ac:dyDescent="0.25">
      <c r="A9" s="30">
        <v>0.12701</v>
      </c>
      <c r="B9" s="31">
        <v>144.21977555347314</v>
      </c>
      <c r="C9" s="31">
        <v>145.80322319958194</v>
      </c>
      <c r="D9" s="31">
        <v>147.38667084569047</v>
      </c>
      <c r="E9" s="31">
        <v>148.97011849179924</v>
      </c>
      <c r="F9" s="31">
        <v>150.55356613790784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1820370000000</v>
      </c>
      <c r="C5" s="18">
        <v>1665750000000</v>
      </c>
      <c r="D5" s="18">
        <v>1725880000000</v>
      </c>
      <c r="E5" s="18">
        <v>1636460000000</v>
      </c>
      <c r="F5" s="8" t="s">
        <v>84</v>
      </c>
    </row>
    <row r="6" spans="1:6" x14ac:dyDescent="0.25">
      <c r="A6" t="s">
        <v>44</v>
      </c>
      <c r="B6" s="18">
        <v>233450000000</v>
      </c>
      <c r="C6" s="18">
        <v>141580000000</v>
      </c>
      <c r="D6" s="18">
        <v>204960000000</v>
      </c>
      <c r="E6" s="18">
        <v>131590000000</v>
      </c>
      <c r="F6" s="8" t="s">
        <v>85</v>
      </c>
    </row>
    <row r="7" spans="1:6" x14ac:dyDescent="0.25">
      <c r="A7" t="s">
        <v>86</v>
      </c>
      <c r="B7" s="18">
        <v>96010000000</v>
      </c>
      <c r="C7" s="18">
        <v>93090000000</v>
      </c>
      <c r="D7" s="18">
        <v>81720000000</v>
      </c>
      <c r="E7" s="18">
        <v>74740000000</v>
      </c>
      <c r="F7" s="8" t="s">
        <v>87</v>
      </c>
    </row>
    <row r="8" spans="1:6" x14ac:dyDescent="0.25">
      <c r="A8" t="s">
        <v>88</v>
      </c>
      <c r="B8" s="18">
        <v>146540000000</v>
      </c>
      <c r="C8" s="18">
        <v>126940000000</v>
      </c>
      <c r="D8" s="18">
        <v>158010000000</v>
      </c>
      <c r="E8" s="18">
        <v>147840000000</v>
      </c>
      <c r="F8" s="8" t="s">
        <v>89</v>
      </c>
    </row>
    <row r="9" spans="1:6" x14ac:dyDescent="0.25">
      <c r="A9" t="s">
        <v>90</v>
      </c>
      <c r="B9" s="18">
        <v>37080000000</v>
      </c>
      <c r="C9" s="18">
        <v>6810000000</v>
      </c>
      <c r="D9" s="18">
        <v>136150000000</v>
      </c>
      <c r="E9" s="18">
        <v>-31050000000</v>
      </c>
      <c r="F9" s="8" t="s">
        <v>91</v>
      </c>
    </row>
    <row r="10" spans="1:6" x14ac:dyDescent="0.25">
      <c r="A10" t="s">
        <v>92</v>
      </c>
      <c r="B10" s="18">
        <v>1190790000000</v>
      </c>
      <c r="C10" s="18">
        <v>1192220000000</v>
      </c>
      <c r="D10" s="18">
        <v>1056090000000</v>
      </c>
      <c r="E10" s="18">
        <v>1066050000000</v>
      </c>
      <c r="F10" s="8" t="s">
        <v>93</v>
      </c>
    </row>
    <row r="11" spans="1:6" x14ac:dyDescent="0.25">
      <c r="A11" t="s">
        <v>94</v>
      </c>
      <c r="B11" s="18">
        <v>496390000000</v>
      </c>
      <c r="C11" s="18">
        <v>182290000000</v>
      </c>
      <c r="D11" s="18">
        <v>76450000000</v>
      </c>
      <c r="E11" s="18">
        <v>205250000000</v>
      </c>
      <c r="F11" s="8" t="s">
        <v>95</v>
      </c>
    </row>
    <row r="12" spans="1:6" x14ac:dyDescent="0.25">
      <c r="A12" t="s">
        <v>32</v>
      </c>
      <c r="B12" s="34">
        <v>2445453966</v>
      </c>
      <c r="C12" s="34">
        <v>2445453966</v>
      </c>
      <c r="D12" s="34">
        <v>2436042791</v>
      </c>
      <c r="E12" s="34">
        <v>2417220440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