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<sst xmlns="http://schemas.openxmlformats.org/spreadsheetml/2006/main" count="113" uniqueCount="101">
  <si>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Kinross Gold Corporation (K.TO)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</si>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</sst>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0.2684268233983613</v>
      </c>
    </row>
    <row r="7" spans="1:2" x14ac:dyDescent="0.25">
      <c r="A7" t="s">
        <v>5</v>
      </c>
      <c r="B7" s="6">
        <v>0.23900238624292833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0.20981096546128505</v>
      </c>
    </row>
    <row r="10" spans="1:2" x14ac:dyDescent="0.25">
      <c r="A10" t="s">
        <v>8</v>
      </c>
      <c r="B10" s="6">
        <v>0.2146197252368705</v>
      </c>
    </row>
    <row r="11" spans="1:2" x14ac:dyDescent="0.25">
      <c r="A11" t="s">
        <v>9</v>
      </c>
      <c r="B11" s="6">
        <v>-0.07457925420745792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10.513454293692737</v>
      </c>
    </row>
    <row r="14" spans="1:3" x14ac:dyDescent="0.25">
      <c r="A14" t="s">
        <v>12</v>
      </c>
      <c r="B14" s="6">
        <v>0.10479308065068578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1.31959</v>
      </c>
      <c r="C19" s="8" t="s">
        <v>19</v>
      </c>
    </row>
    <row r="20" spans="1:2" x14ac:dyDescent="0.25">
      <c r="A20" t="s">
        <v>20</v>
      </c>
      <c r="B20" s="10">
        <f>B17+B19*B18</f>
        <v>0.10557745</v>
      </c>
    </row>
    <row r="21" spans="1:3" x14ac:dyDescent="0.25">
      <c r="A21" t="s">
        <v>21</v>
      </c>
      <c r="B21" s="6">
        <v>0.07526683842473317</v>
      </c>
      <c r="C21" s="8" t="s">
        <v>22</v>
      </c>
    </row>
    <row r="22" spans="1:2" x14ac:dyDescent="0.25">
      <c r="A22" t="s">
        <v>23</v>
      </c>
      <c r="B22" s="11">
        <v>46559948800</v>
      </c>
    </row>
    <row r="23" spans="1:2" x14ac:dyDescent="0.25">
      <c r="A23" t="s">
        <v>24</v>
      </c>
      <c r="B23" s="11">
        <v>738200000</v>
      </c>
    </row>
    <row r="24" spans="1:2" x14ac:dyDescent="0.25">
      <c r="A24" t="s">
        <v>25</v>
      </c>
      <c r="B24" s="10">
        <f>B22/(B22+B23)</f>
        <v>0.9843926238398574</v>
      </c>
    </row>
    <row r="25" spans="1:2" x14ac:dyDescent="0.25">
      <c r="A25" t="s">
        <v>26</v>
      </c>
      <c r="B25" s="10">
        <f>1-B24</f>
        <v>0.015607376160142628</v>
      </c>
    </row>
    <row r="26" spans="1:2" x14ac:dyDescent="0.25">
      <c r="A26" t="s">
        <v>27</v>
      </c>
      <c r="B26" s="12">
        <f>B24*B20+B25*B21*(1-B8)</f>
        <v>0.10479308065068578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7051100000</v>
      </c>
      <c r="C29" s="8" t="s">
        <v>30</v>
      </c>
    </row>
    <row r="30" spans="1:2" x14ac:dyDescent="0.25">
      <c r="A30" t="s">
        <v>31</v>
      </c>
      <c r="B30" s="11">
        <v>-1004100000</v>
      </c>
    </row>
    <row r="31" spans="1:2" x14ac:dyDescent="0.25">
      <c r="A31" t="s">
        <v>32</v>
      </c>
      <c r="B31" s="13">
        <v>1224607000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0.2684268233983613</v>
      </c>
      <c r="C5" s="10">
        <f>Assumptions!B6</f>
        <v>0.2684268233983613</v>
      </c>
      <c r="D5" s="10">
        <f>Assumptions!B6</f>
        <v>0.2684268233983613</v>
      </c>
      <c r="E5" s="10">
        <f>Assumptions!B6</f>
        <v>0.2684268233983613</v>
      </c>
      <c r="F5" s="10">
        <f>Assumptions!B6</f>
        <v>0.2684268233983613</v>
      </c>
    </row>
    <row r="6" spans="1:6" x14ac:dyDescent="0.25">
      <c r="A6" t="s">
        <v>43</v>
      </c>
      <c r="B6" s="18">
        <f>Assumptions!B29*(1+B5)</f>
        <v>8943804374.464186</v>
      </c>
      <c r="C6" s="18">
        <f>B6*(1+C5)</f>
        <v>11344561371.797976</v>
      </c>
      <c r="D6" s="18">
        <f>C6*(1+D5)</f>
        <v>14389745943.677462</v>
      </c>
      <c r="E6" s="18">
        <f>D6*(1+E5)</f>
        <v>18252339736.84826</v>
      </c>
      <c r="F6" s="18">
        <f>E6*(1+F5)</f>
        <v>23151757311.99812</v>
      </c>
    </row>
    <row r="7" spans="1:6" x14ac:dyDescent="0.25">
      <c r="A7" t="s">
        <v>5</v>
      </c>
      <c r="B7" s="10">
        <f>Assumptions!B7</f>
        <v>0.23900238624292833</v>
      </c>
      <c r="C7" s="10">
        <f>Assumptions!B7</f>
        <v>0.23900238624292833</v>
      </c>
      <c r="D7" s="10">
        <f>Assumptions!B7</f>
        <v>0.23900238624292833</v>
      </c>
      <c r="E7" s="10">
        <f>Assumptions!B7</f>
        <v>0.23900238624292833</v>
      </c>
      <c r="F7" s="10">
        <f>Assumptions!B7</f>
        <v>0.23900238624292833</v>
      </c>
    </row>
    <row r="8" spans="1:6" x14ac:dyDescent="0.25">
      <c r="A8" t="s">
        <v>44</v>
      </c>
      <c r="B8" s="18">
        <f>B6*B7</f>
        <v>2137590587.5868814</v>
      </c>
      <c r="C8" s="18">
        <f>C6*C7</f>
        <v>2711377238.7390647</v>
      </c>
      <c r="D8" s="18">
        <f>D6*D7</f>
        <v>3439183617.968412</v>
      </c>
      <c r="E8" s="18">
        <f>E6*E7</f>
        <v>4362352751.623357</v>
      </c>
      <c r="F8" s="18">
        <f>F6*F7</f>
        <v>5533325243.284715</v>
      </c>
    </row>
    <row r="9" spans="1:6" x14ac:dyDescent="0.25">
      <c r="A9" t="s">
        <v>45</v>
      </c>
      <c r="B9" s="18">
        <f>B8*(1-Assumptions!B8)</f>
        <v>1571129081.8763578</v>
      </c>
      <c r="C9" s="18">
        <f>C8*(1-Assumptions!B8)</f>
        <v>1992862270.4732125</v>
      </c>
      <c r="D9" s="18">
        <f>D8*(1-Assumptions!B8)</f>
        <v>2527799959.206783</v>
      </c>
      <c r="E9" s="18">
        <f>E8*(1-Assumptions!B8)</f>
        <v>3206329272.443167</v>
      </c>
      <c r="F9" s="18">
        <f>F8*(1-Assumptions!B8)</f>
        <v>4066994053.8142653</v>
      </c>
    </row>
    <row r="10" spans="1:6" x14ac:dyDescent="0.25">
      <c r="A10" t="s">
        <v>46</v>
      </c>
      <c r="B10" s="18">
        <f>B6*Assumptions!B9</f>
        <v>1876508230.7031953</v>
      </c>
      <c r="C10" s="18">
        <f>C6*Assumptions!B9</f>
        <v>2380213374.1517334</v>
      </c>
      <c r="D10" s="18">
        <f>D6*Assumptions!B9</f>
        <v>3019126489.185579</v>
      </c>
      <c r="E10" s="18">
        <f>E6*Assumptions!B9</f>
        <v>3829541022.115511</v>
      </c>
      <c r="F10" s="18">
        <f>F6*Assumptions!B9</f>
        <v>4857492553.755692</v>
      </c>
    </row>
    <row r="11" spans="1:6" x14ac:dyDescent="0.25">
      <c r="A11" t="s">
        <v>47</v>
      </c>
      <c r="B11" s="18">
        <f>-B6*Assumptions!B10</f>
        <v>-1919516837.4198241</v>
      </c>
      <c r="C11" s="18">
        <f>-C6*Assumptions!B10</f>
        <v>-2434766644.548096</v>
      </c>
      <c r="D11" s="18">
        <f>-D6*Assumptions!B10</f>
        <v>-3088323320.6604285</v>
      </c>
      <c r="E11" s="18">
        <f>-E6*Assumptions!B10</f>
        <v>-3917312139.2523866</v>
      </c>
      <c r="F11" s="18">
        <f>-F6*Assumptions!B10</f>
        <v>-4968823793.051744</v>
      </c>
    </row>
    <row r="12" spans="1:6" x14ac:dyDescent="0.25">
      <c r="A12" t="s">
        <v>48</v>
      </c>
      <c r="B12" s="18">
        <f>-(B6-Assumptions!B29)*Assumptions!B11</f>
        <v>141156480.68273214</v>
      </c>
      <c r="C12" s="18">
        <f>-(C6-B6)*Assumptions!B11</f>
        <v>179046666.3944901</v>
      </c>
      <c r="D12" s="18">
        <f>-(D6-C6)*Assumptions!B11</f>
        <v>227107594.29482913</v>
      </c>
      <c r="E12" s="18">
        <f>-(E6-D6)*Assumptions!B11</f>
        <v>288069364.40103406</v>
      </c>
      <c r="F12" s="18">
        <f>-(F6-E6)*Assumptions!B11</f>
        <v>365394908.80558854</v>
      </c>
    </row>
    <row r="13" spans="1:6" x14ac:dyDescent="0.25">
      <c r="A13" s="19" t="s">
        <v>49</v>
      </c>
      <c r="B13" s="20">
        <f>B9+B10+B11+B12</f>
        <v>1669276955.842461</v>
      </c>
      <c r="C13" s="20">
        <f>C9+C10+C11+C12</f>
        <v>2117355666.4713395</v>
      </c>
      <c r="D13" s="20">
        <f>D9+D10+D11+D12</f>
        <v>2685710722.026762</v>
      </c>
      <c r="E13" s="20">
        <f>E9+E10+E11+E12</f>
        <v>3406627519.707325</v>
      </c>
      <c r="F13" s="20">
        <f>F9+F10+F11+F12</f>
        <v>4321057723.323802</v>
      </c>
    </row>
    <row r="14" spans="1:6" x14ac:dyDescent="0.25">
      <c r="A14" t="s">
        <v>50</v>
      </c>
      <c r="B14" s="21">
        <f>1/(1+Assumptions!$B$26)^(1-0.5*Assumptions!$B$32)</f>
        <v>0.9513920700487513</v>
      </c>
      <c r="C14" s="21">
        <f>1/(1+Assumptions!$B$26)^(2-0.5*Assumptions!$B$32)</f>
        <v>0.8611495552528383</v>
      </c>
      <c r="D14" s="21">
        <f>1/(1+Assumptions!$B$26)^(3-0.5*Assumptions!$B$32)</f>
        <v>0.7794668253585099</v>
      </c>
      <c r="E14" s="21">
        <f>1/(1+Assumptions!$B$26)^(4-0.5*Assumptions!$B$32)</f>
        <v>0.7055319579838699</v>
      </c>
      <c r="F14" s="21">
        <f>1/(1+Assumptions!$B$26)^(5-0.5*Assumptions!$B$32)</f>
        <v>0.6386100441254896</v>
      </c>
    </row>
    <row r="15" spans="1:6" x14ac:dyDescent="0.25">
      <c r="A15" s="19" t="s">
        <v>51</v>
      </c>
      <c r="B15" s="20">
        <f>B13*B14</f>
        <v>1588136858.503637</v>
      </c>
      <c r="C15" s="20">
        <f>C13*C14</f>
        <v>1823359890.493871</v>
      </c>
      <c r="D15" s="20">
        <f>D13*D14</f>
        <v>2093422410.3295116</v>
      </c>
      <c r="E15" s="20">
        <f>E13*E14</f>
        <v>2403484584.1008434</v>
      </c>
      <c r="F15" s="20">
        <f>F13*F14</f>
        <v>2759470863.360601</v>
      </c>
    </row>
    <row r="17" spans="1:2" x14ac:dyDescent="0.25">
      <c r="A17" s="22" t="s">
        <v>52</v>
      </c>
      <c r="B17" s="23">
        <f>SUM(B15:F15)</f>
        <v>10667874606.788464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4321057723.323802</v>
      </c>
    </row>
    <row r="5" spans="1:2" x14ac:dyDescent="0.25">
      <c r="A5" t="s">
        <v>56</v>
      </c>
      <c r="B5" s="18">
        <f>IF(Assumptions!$B$33=0,B4,B4-Forecast!F11-Forecast!F10-Forecast!F12)</f>
        <v>4066994053.8142653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0.23856536943821965</v>
      </c>
    </row>
    <row r="7" spans="1:2" x14ac:dyDescent="0.25">
      <c r="A7" t="s">
        <v>58</v>
      </c>
      <c r="B7" s="18">
        <f>-MAX(Forecast!F9,0)*B6</f>
        <v>-970243938.9512428</v>
      </c>
    </row>
    <row r="8" spans="1:2" x14ac:dyDescent="0.25">
      <c r="A8" t="s">
        <v>59</v>
      </c>
      <c r="B8" s="18">
        <f>IF(OR(Assumptions!$B$33=0,Assumptions!B12&lt;=0),B5,MAX(B5+B7,0))</f>
        <v>3096750114.8630223</v>
      </c>
    </row>
    <row r="9" spans="1:2" x14ac:dyDescent="0.25">
      <c r="A9" t="s">
        <v>60</v>
      </c>
      <c r="B9" s="18">
        <f>B8*(1+Assumptions!B12)/(Assumptions!B26-Assumptions!B12)</f>
        <v>39780001497.00095</v>
      </c>
    </row>
    <row r="10" spans="1:2" x14ac:dyDescent="0.25">
      <c r="A10" t="s">
        <v>61</v>
      </c>
      <c r="B10" s="18">
        <f>B9/(1+Assumptions!B26)^(5-0.5*Assumptions!B32)</f>
        <v>25403908511.31182</v>
      </c>
    </row>
    <row r="11" spans="1:2" x14ac:dyDescent="0.25">
      <c r="A11" t="s">
        <v>62</v>
      </c>
      <c r="B11" s="18">
        <f>Forecast!B17+B10</f>
        <v>36071783118.10028</v>
      </c>
    </row>
    <row r="12" spans="1:2" x14ac:dyDescent="0.25">
      <c r="A12" t="s">
        <v>63</v>
      </c>
      <c r="B12" s="18">
        <f>-Assumptions!B30</f>
        <v>1004100000</v>
      </c>
    </row>
    <row r="13" spans="1:2" x14ac:dyDescent="0.25">
      <c r="A13" t="s">
        <v>64</v>
      </c>
      <c r="B13" s="18">
        <f>B11+B12</f>
        <v>37075883118.10028</v>
      </c>
    </row>
    <row r="14" spans="1:2" x14ac:dyDescent="0.25">
      <c r="A14" s="19" t="s">
        <v>65</v>
      </c>
      <c r="B14" s="24">
        <f>B13/Assumptions!B31</f>
        <v>30.275739986869485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10390817797.040405</v>
      </c>
    </row>
    <row r="18" spans="1:2" x14ac:dyDescent="0.25">
      <c r="A18" t="s">
        <v>60</v>
      </c>
      <c r="B18" s="18">
        <f>B17*Assumptions!B13</f>
        <v>109243387983.27336</v>
      </c>
    </row>
    <row r="19" spans="1:2" x14ac:dyDescent="0.25">
      <c r="A19" t="s">
        <v>61</v>
      </c>
      <c r="B19" s="18">
        <f>B18/(1+Assumptions!B26)^(5-0.5*Assumptions!B32)</f>
        <v>69763924820.41618</v>
      </c>
    </row>
    <row r="20" spans="1:2" x14ac:dyDescent="0.25">
      <c r="A20" t="s">
        <v>62</v>
      </c>
      <c r="B20" s="18">
        <f>Forecast!B17+B19</f>
        <v>80431799427.20465</v>
      </c>
    </row>
    <row r="21" spans="1:2" x14ac:dyDescent="0.25">
      <c r="A21" t="s">
        <v>63</v>
      </c>
      <c r="B21" s="18">
        <f>-Assumptions!B30</f>
        <v>1004100000</v>
      </c>
    </row>
    <row r="22" spans="1:2" x14ac:dyDescent="0.25">
      <c r="A22" t="s">
        <v>64</v>
      </c>
      <c r="B22" s="18">
        <f>B20+B21</f>
        <v>81435899427.20465</v>
      </c>
    </row>
    <row r="23" spans="1:2" x14ac:dyDescent="0.25">
      <c r="A23" s="19" t="s">
        <v>65</v>
      </c>
      <c r="B23" s="25">
        <f>B22/Assumptions!B31</f>
        <v>66.49961941031258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39.25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42.331539649640916</v>
      </c>
    </row>
    <row r="29" spans="1:2" x14ac:dyDescent="0.25">
      <c r="A29" s="19" t="s">
        <v>73</v>
      </c>
      <c r="B29" s="12">
        <f>B28/B26-1</f>
        <v>0.0785105643220616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0.084793</v>
      </c>
      <c r="B5" s="31">
        <v>38.540919512158496</v>
      </c>
      <c r="C5" s="31">
        <v>39.11609063266428</v>
      </c>
      <c r="D5" s="31">
        <v>39.76854718809726</v>
      </c>
      <c r="E5" s="31">
        <v>40.51944665338874</v>
      </c>
      <c r="F5" s="31">
        <v>41.39844467587619</v>
      </c>
    </row>
    <row r="6" spans="1:6" x14ac:dyDescent="0.25">
      <c r="A6" s="30">
        <v>0.094793</v>
      </c>
      <c r="B6" s="31">
        <v>33.719546666316255</v>
      </c>
      <c r="C6" s="31">
        <v>33.96811065005378</v>
      </c>
      <c r="D6" s="31">
        <v>34.23674527922099</v>
      </c>
      <c r="E6" s="31">
        <v>34.53009703849132</v>
      </c>
      <c r="F6" s="31">
        <v>34.85436660271878</v>
      </c>
    </row>
    <row r="7" spans="1:6" x14ac:dyDescent="0.25">
      <c r="A7" s="30">
        <v>0.104793</v>
      </c>
      <c r="B7" s="31">
        <v>30.07337855569123</v>
      </c>
      <c r="C7" s="31">
        <v>30.174571543330725</v>
      </c>
      <c r="D7" s="32">
        <v>30.275764530970203</v>
      </c>
      <c r="E7" s="31">
        <v>30.376957518609697</v>
      </c>
      <c r="F7" s="31">
        <v>30.47815050624918</v>
      </c>
    </row>
    <row r="8" spans="1:6" x14ac:dyDescent="0.25">
      <c r="A8" s="30">
        <v>0.114793</v>
      </c>
      <c r="B8" s="31">
        <v>27.324329408686996</v>
      </c>
      <c r="C8" s="31">
        <v>27.413036297912424</v>
      </c>
      <c r="D8" s="31">
        <v>27.501743187137844</v>
      </c>
      <c r="E8" s="31">
        <v>27.590450076363272</v>
      </c>
      <c r="F8" s="31">
        <v>27.6791569655887</v>
      </c>
    </row>
    <row r="9" spans="1:6" x14ac:dyDescent="0.25">
      <c r="A9" s="30">
        <v>0.124793</v>
      </c>
      <c r="B9" s="31">
        <v>25.022920535019455</v>
      </c>
      <c r="C9" s="31">
        <v>25.1013049744651</v>
      </c>
      <c r="D9" s="31">
        <v>25.17968941391074</v>
      </c>
      <c r="E9" s="31">
        <v>25.258073853356386</v>
      </c>
      <c r="F9" s="31">
        <v>25.336458292802025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7051100000</v>
      </c>
      <c r="C5" s="18">
        <v>5148800000</v>
      </c>
      <c r="D5" s="18">
        <v>4239700000</v>
      </c>
      <c r="E5" s="18">
        <v>3455100000</v>
      </c>
      <c r="F5" s="8" t="s">
        <v>84</v>
      </c>
    </row>
    <row r="6" spans="1:6" x14ac:dyDescent="0.25">
      <c r="A6" t="s">
        <v>44</v>
      </c>
      <c r="B6" s="18">
        <v>3228100000</v>
      </c>
      <c r="C6" s="18">
        <v>1499400000</v>
      </c>
      <c r="D6" s="18">
        <v>764400000</v>
      </c>
      <c r="E6" s="18">
        <v>92200000</v>
      </c>
      <c r="F6" s="8" t="s">
        <v>85</v>
      </c>
    </row>
    <row r="7" spans="1:6" x14ac:dyDescent="0.25">
      <c r="A7" t="s">
        <v>86</v>
      </c>
      <c r="B7" s="18">
        <v>1105000000</v>
      </c>
      <c r="C7" s="18">
        <v>1147500000</v>
      </c>
      <c r="D7" s="18">
        <v>986800000</v>
      </c>
      <c r="E7" s="18">
        <v>784000000</v>
      </c>
      <c r="F7" s="8" t="s">
        <v>87</v>
      </c>
    </row>
    <row r="8" spans="1:6" x14ac:dyDescent="0.25">
      <c r="A8" t="s">
        <v>88</v>
      </c>
      <c r="B8" s="18">
        <v>1194200000</v>
      </c>
      <c r="C8" s="18">
        <v>1075500000</v>
      </c>
      <c r="D8" s="18">
        <v>1098300000</v>
      </c>
      <c r="E8" s="18">
        <v>764200000</v>
      </c>
      <c r="F8" s="8" t="s">
        <v>89</v>
      </c>
    </row>
    <row r="9" spans="1:6" x14ac:dyDescent="0.25">
      <c r="A9" t="s">
        <v>90</v>
      </c>
      <c r="B9" s="18">
        <v>-39700000</v>
      </c>
      <c r="C9" s="18">
        <v>-67800000</v>
      </c>
      <c r="D9" s="18">
        <v>-72800000</v>
      </c>
      <c r="E9" s="18">
        <v>113300000</v>
      </c>
      <c r="F9" s="8" t="s">
        <v>91</v>
      </c>
    </row>
    <row r="10" spans="1:6" x14ac:dyDescent="0.25">
      <c r="A10" t="s">
        <v>92</v>
      </c>
      <c r="B10" s="18">
        <v>738200000</v>
      </c>
      <c r="C10" s="18">
        <v>1435400000</v>
      </c>
      <c r="D10" s="18">
        <v>2232600000</v>
      </c>
      <c r="E10" s="18">
        <v>2640500000</v>
      </c>
      <c r="F10" s="8" t="s">
        <v>93</v>
      </c>
    </row>
    <row r="11" spans="1:6" x14ac:dyDescent="0.25">
      <c r="A11" t="s">
        <v>94</v>
      </c>
      <c r="B11" s="18">
        <v>1742300000</v>
      </c>
      <c r="C11" s="18">
        <v>611500000</v>
      </c>
      <c r="D11" s="18">
        <v>352400000</v>
      </c>
      <c r="E11" s="18">
        <v>418100000</v>
      </c>
      <c r="F11" s="8" t="s">
        <v>95</v>
      </c>
    </row>
    <row r="12" spans="1:6" x14ac:dyDescent="0.25">
      <c r="A12" t="s">
        <v>32</v>
      </c>
      <c r="B12" s="34">
        <v>1224607000</v>
      </c>
      <c r="C12" s="34">
        <v>1234504000</v>
      </c>
      <c r="D12" s="34">
        <v>1236670000</v>
      </c>
      <c r="E12" s="34">
        <v>1280500000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2026-09-19T00:06:58Z</dcterms:modified>
</cp:coreProperties>
</file>