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<sst xmlns="http://schemas.openxmlformats.org/spreadsheetml/2006/main" count="111" uniqueCount="99">
  <si>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Keurig Dr Pepper Inc. (KDP)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</si>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</sst>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0.05705594810720571</v>
      </c>
    </row>
    <row r="7" spans="1:2" x14ac:dyDescent="0.25">
      <c r="A7" t="s">
        <v>5</v>
      </c>
      <c r="B7" s="6">
        <v>0.21229074517665297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0.048035689824254796</v>
      </c>
    </row>
    <row r="10" spans="1:2" x14ac:dyDescent="0.25">
      <c r="A10" t="s">
        <v>8</v>
      </c>
      <c r="B10" s="6">
        <v>0.03256130115177752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12.9927755969133</v>
      </c>
    </row>
    <row r="14" spans="1:3" x14ac:dyDescent="0.25">
      <c r="A14" t="s">
        <v>12</v>
      </c>
      <c r="B14" s="6">
        <v>0.07122542359324284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0.60738</v>
      </c>
      <c r="C19" s="8" t="s">
        <v>19</v>
      </c>
    </row>
    <row r="20" spans="1:2" x14ac:dyDescent="0.25">
      <c r="A20" t="s">
        <v>20</v>
      </c>
      <c r="B20" s="10">
        <f>B17+B19*B18</f>
        <v>0.08338590000000001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42131169280</v>
      </c>
    </row>
    <row r="23" spans="1:2" x14ac:dyDescent="0.25">
      <c r="A23" t="s">
        <v>24</v>
      </c>
      <c r="B23" s="11">
        <v>16141000000</v>
      </c>
    </row>
    <row r="24" spans="1:2" x14ac:dyDescent="0.25">
      <c r="A24" t="s">
        <v>25</v>
      </c>
      <c r="B24" s="10">
        <f>B22/(B22+B23)</f>
        <v>0.7230067080145605</v>
      </c>
    </row>
    <row r="25" spans="1:2" x14ac:dyDescent="0.25">
      <c r="A25" t="s">
        <v>26</v>
      </c>
      <c r="B25" s="10">
        <f>1-B24</f>
        <v>0.27699329198543954</v>
      </c>
    </row>
    <row r="26" spans="1:2" x14ac:dyDescent="0.25">
      <c r="A26" t="s">
        <v>27</v>
      </c>
      <c r="B26" s="12">
        <f>B24*B20+B25*B21*(1-B8)</f>
        <v>0.07122542359324284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16603000000</v>
      </c>
      <c r="C29" s="8" t="s">
        <v>30</v>
      </c>
    </row>
    <row r="30" spans="1:2" x14ac:dyDescent="0.25">
      <c r="A30" t="s">
        <v>31</v>
      </c>
      <c r="B30" s="11">
        <v>15115000000</v>
      </c>
    </row>
    <row r="31" spans="1:2" x14ac:dyDescent="0.25">
      <c r="A31" t="s">
        <v>32</v>
      </c>
      <c r="B31" s="13">
        <v>1362800000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0.05705594810720571</v>
      </c>
      <c r="C5" s="10">
        <f>Assumptions!B6</f>
        <v>0.05705594810720571</v>
      </c>
      <c r="D5" s="10">
        <f>Assumptions!B6</f>
        <v>0.05705594810720571</v>
      </c>
      <c r="E5" s="10">
        <f>Assumptions!B6</f>
        <v>0.05705594810720571</v>
      </c>
      <c r="F5" s="10">
        <f>Assumptions!B6</f>
        <v>0.05705594810720571</v>
      </c>
    </row>
    <row r="6" spans="1:6" x14ac:dyDescent="0.25">
      <c r="A6" t="s">
        <v>43</v>
      </c>
      <c r="B6" s="18">
        <f>Assumptions!B29*(1+B5)</f>
        <v>17550299906.423935</v>
      </c>
      <c r="C6" s="18">
        <f>B6*(1+C5)</f>
        <v>18551648907.150757</v>
      </c>
      <c r="D6" s="18">
        <f>C6*(1+D5)</f>
        <v>19610130824.50025</v>
      </c>
      <c r="E6" s="18">
        <f>D6*(1+E5)</f>
        <v>20729005431.198452</v>
      </c>
      <c r="F6" s="18">
        <f>E6*(1+F5)</f>
        <v>21911718489.394897</v>
      </c>
    </row>
    <row r="7" spans="1:6" x14ac:dyDescent="0.25">
      <c r="A7" t="s">
        <v>5</v>
      </c>
      <c r="B7" s="10">
        <f>Assumptions!B7</f>
        <v>0.21229074517665297</v>
      </c>
      <c r="C7" s="10">
        <f>Assumptions!B7</f>
        <v>0.21229074517665297</v>
      </c>
      <c r="D7" s="10">
        <f>Assumptions!B7</f>
        <v>0.21229074517665297</v>
      </c>
      <c r="E7" s="10">
        <f>Assumptions!B7</f>
        <v>0.21229074517665297</v>
      </c>
      <c r="F7" s="10">
        <f>Assumptions!B7</f>
        <v>0.21229074517665297</v>
      </c>
    </row>
    <row r="8" spans="1:6" x14ac:dyDescent="0.25">
      <c r="A8" t="s">
        <v>44</v>
      </c>
      <c r="B8" s="18">
        <f>B6*B7</f>
        <v>3725766245.20848</v>
      </c>
      <c r="C8" s="18">
        <f>C6*C7</f>
        <v>3938343370.754674</v>
      </c>
      <c r="D8" s="18">
        <f>D6*D7</f>
        <v>4163049285.7448106</v>
      </c>
      <c r="E8" s="18">
        <f>E6*E7</f>
        <v>4400576009.760006</v>
      </c>
      <c r="F8" s="18">
        <f>F6*F7</f>
        <v>4651655046.214687</v>
      </c>
    </row>
    <row r="9" spans="1:6" x14ac:dyDescent="0.25">
      <c r="A9" t="s">
        <v>45</v>
      </c>
      <c r="B9" s="18">
        <f>B8*(1-Assumptions!B8)</f>
        <v>2943355333.7146993</v>
      </c>
      <c r="C9" s="18">
        <f>C8*(1-Assumptions!B8)</f>
        <v>3111291262.8961926</v>
      </c>
      <c r="D9" s="18">
        <f>D8*(1-Assumptions!B8)</f>
        <v>3288808935.7384005</v>
      </c>
      <c r="E9" s="18">
        <f>E8*(1-Assumptions!B8)</f>
        <v>3476455047.710405</v>
      </c>
      <c r="F9" s="18">
        <f>F8*(1-Assumptions!B8)</f>
        <v>3674807486.509603</v>
      </c>
    </row>
    <row r="10" spans="1:6" x14ac:dyDescent="0.25">
      <c r="A10" t="s">
        <v>46</v>
      </c>
      <c r="B10" s="18">
        <f>B6*Assumptions!B9</f>
        <v>843040762.6276281</v>
      </c>
      <c r="C10" s="18">
        <f>C6*Assumptions!B9</f>
        <v>891141252.6323692</v>
      </c>
      <c r="D10" s="18">
        <f>D6*Assumptions!B9</f>
        <v>941986161.698752</v>
      </c>
      <c r="E10" s="18">
        <f>E6*Assumptions!B9</f>
        <v>995732075.2583419</v>
      </c>
      <c r="F10" s="18">
        <f>F6*Assumptions!B9</f>
        <v>1052544512.8729621</v>
      </c>
    </row>
    <row r="11" spans="1:6" x14ac:dyDescent="0.25">
      <c r="A11" t="s">
        <v>47</v>
      </c>
      <c r="B11" s="18">
        <f>-B6*Assumptions!B10</f>
        <v>-571460600.5570827</v>
      </c>
      <c r="C11" s="18">
        <f>-C6*Assumptions!B10</f>
        <v>-604065826.9277802</v>
      </c>
      <c r="D11" s="18">
        <f>-D6*Assumptions!B10</f>
        <v>-638531375.402308</v>
      </c>
      <c r="E11" s="18">
        <f>-E6*Assumptions!B10</f>
        <v>-674963388.4220847</v>
      </c>
      <c r="F11" s="18">
        <f>-F6*Assumptions!B10</f>
        <v>-713474064.4861588</v>
      </c>
    </row>
    <row r="12" spans="1:6" x14ac:dyDescent="0.25">
      <c r="A12" t="s">
        <v>48</v>
      </c>
      <c r="B12" s="18">
        <f>-(B6-Assumptions!B29)*Assumptions!B11</f>
        <v>-947299906.4239349</v>
      </c>
      <c r="C12" s="18">
        <f>-(C6-B6)*Assumptions!B11</f>
        <v>-1001349000.7268219</v>
      </c>
      <c r="D12" s="18">
        <f>-(D6-C6)*Assumptions!B11</f>
        <v>-1058481917.3494949</v>
      </c>
      <c r="E12" s="18">
        <f>-(E6-D6)*Assumptions!B11</f>
        <v>-1118874606.6982002</v>
      </c>
      <c r="F12" s="18">
        <f>-(F6-E6)*Assumptions!B11</f>
        <v>-1182713058.1964455</v>
      </c>
    </row>
    <row r="13" spans="1:6" x14ac:dyDescent="0.25">
      <c r="A13" s="19" t="s">
        <v>49</v>
      </c>
      <c r="B13" s="20">
        <f>B9+B10+B11+B12</f>
        <v>2267635589.3613095</v>
      </c>
      <c r="C13" s="20">
        <f>C9+C10+C11+C12</f>
        <v>2397017687.8739595</v>
      </c>
      <c r="D13" s="20">
        <f>D9+D10+D11+D12</f>
        <v>2533781804.6853495</v>
      </c>
      <c r="E13" s="20">
        <f>E9+E10+E11+E12</f>
        <v>2678349127.848462</v>
      </c>
      <c r="F13" s="20">
        <f>F9+F10+F11+F12</f>
        <v>2831164876.699961</v>
      </c>
    </row>
    <row r="14" spans="1:6" x14ac:dyDescent="0.25">
      <c r="A14" t="s">
        <v>50</v>
      </c>
      <c r="B14" s="21">
        <f>1/(1+Assumptions!$B$26)^(1-0.5*Assumptions!$B$32)</f>
        <v>0.9661833838508659</v>
      </c>
      <c r="C14" s="21">
        <f>1/(1+Assumptions!$B$26)^(2-0.5*Assumptions!$B$32)</f>
        <v>0.9019421706870705</v>
      </c>
      <c r="D14" s="21">
        <f>1/(1+Assumptions!$B$26)^(3-0.5*Assumptions!$B$32)</f>
        <v>0.8419723345079502</v>
      </c>
      <c r="E14" s="21">
        <f>1/(1+Assumptions!$B$26)^(4-0.5*Assumptions!$B$32)</f>
        <v>0.7859898728726002</v>
      </c>
      <c r="F14" s="21">
        <f>1/(1+Assumptions!$B$26)^(5-0.5*Assumptions!$B$32)</f>
        <v>0.7337296665683413</v>
      </c>
    </row>
    <row r="15" spans="1:6" x14ac:dyDescent="0.25">
      <c r="A15" s="19" t="s">
        <v>51</v>
      </c>
      <c r="B15" s="20">
        <f>B13*B14</f>
        <v>2190951827.0697627</v>
      </c>
      <c r="C15" s="20">
        <f>C13*C14</f>
        <v>2161971336.576342</v>
      </c>
      <c r="D15" s="20">
        <f>D13*D14</f>
        <v>2133374181.2246907</v>
      </c>
      <c r="E15" s="20">
        <f>E13*E14</f>
        <v>2105155290.5060525</v>
      </c>
      <c r="F15" s="20">
        <f>F13*F14</f>
        <v>2077309660.9810615</v>
      </c>
    </row>
    <row r="17" spans="1:2" x14ac:dyDescent="0.25">
      <c r="A17" s="22" t="s">
        <v>52</v>
      </c>
      <c r="B17" s="23">
        <f>SUM(B15:F15)</f>
        <v>10668762296.35791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2831164876.699961</v>
      </c>
    </row>
    <row r="5" spans="1:2" x14ac:dyDescent="0.25">
      <c r="A5" t="s">
        <v>56</v>
      </c>
      <c r="B5" s="18">
        <f>IF(Assumptions!$B$33=0,B4,B4-Forecast!F11-Forecast!F10-Forecast!F12)</f>
        <v>4028486689.8449087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0.35099826352414637</v>
      </c>
    </row>
    <row r="7" spans="1:2" x14ac:dyDescent="0.25">
      <c r="A7" t="s">
        <v>58</v>
      </c>
      <c r="B7" s="18">
        <f>-MAX(Forecast!F9,0)*B6</f>
        <v>-1413991832.7656994</v>
      </c>
    </row>
    <row r="8" spans="1:2" x14ac:dyDescent="0.25">
      <c r="A8" t="s">
        <v>59</v>
      </c>
      <c r="B8" s="18">
        <f>IF(OR(Assumptions!$B$33=0,Assumptions!B12&lt;=0),B5,MAX(B5+B7,0))</f>
        <v>2614494857.0792093</v>
      </c>
    </row>
    <row r="9" spans="1:2" x14ac:dyDescent="0.25">
      <c r="A9" t="s">
        <v>60</v>
      </c>
      <c r="B9" s="18">
        <f>B8*(1+Assumptions!B12)/(Assumptions!B26-Assumptions!B12)</f>
        <v>57973665143.39366</v>
      </c>
    </row>
    <row r="10" spans="1:2" x14ac:dyDescent="0.25">
      <c r="A10" t="s">
        <v>61</v>
      </c>
      <c r="B10" s="18">
        <f>B9/(1+Assumptions!B26)^(5-0.5*Assumptions!B32)</f>
        <v>42536997995.4069</v>
      </c>
    </row>
    <row r="11" spans="1:2" x14ac:dyDescent="0.25">
      <c r="A11" t="s">
        <v>62</v>
      </c>
      <c r="B11" s="18">
        <f>Forecast!B17+B10</f>
        <v>53205760291.76481</v>
      </c>
    </row>
    <row r="12" spans="1:2" x14ac:dyDescent="0.25">
      <c r="A12" t="s">
        <v>63</v>
      </c>
      <c r="B12" s="18">
        <f>-Assumptions!B30</f>
        <v>-15115000000</v>
      </c>
    </row>
    <row r="13" spans="1:2" x14ac:dyDescent="0.25">
      <c r="A13" t="s">
        <v>64</v>
      </c>
      <c r="B13" s="18">
        <f>B11+B12</f>
        <v>38090760291.76481</v>
      </c>
    </row>
    <row r="14" spans="1:2" x14ac:dyDescent="0.25">
      <c r="A14" s="19" t="s">
        <v>65</v>
      </c>
      <c r="B14" s="24">
        <f>B13/Assumptions!B31</f>
        <v>27.95036710578574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5704199559.087649</v>
      </c>
    </row>
    <row r="18" spans="1:2" x14ac:dyDescent="0.25">
      <c r="A18" t="s">
        <v>60</v>
      </c>
      <c r="B18" s="18">
        <f>B17*Assumptions!B13</f>
        <v>74113384831.23761</v>
      </c>
    </row>
    <row r="19" spans="1:2" x14ac:dyDescent="0.25">
      <c r="A19" t="s">
        <v>61</v>
      </c>
      <c r="B19" s="18">
        <f>B18/(1+Assumptions!B26)^(5-0.5*Assumptions!B32)</f>
        <v>54379189140.475136</v>
      </c>
    </row>
    <row r="20" spans="1:2" x14ac:dyDescent="0.25">
      <c r="A20" t="s">
        <v>62</v>
      </c>
      <c r="B20" s="18">
        <f>Forecast!B17+B19</f>
        <v>65047951436.833046</v>
      </c>
    </row>
    <row r="21" spans="1:2" x14ac:dyDescent="0.25">
      <c r="A21" t="s">
        <v>63</v>
      </c>
      <c r="B21" s="18">
        <f>-Assumptions!B30</f>
        <v>-15115000000</v>
      </c>
    </row>
    <row r="22" spans="1:2" x14ac:dyDescent="0.25">
      <c r="A22" t="s">
        <v>64</v>
      </c>
      <c r="B22" s="18">
        <f>B20+B21</f>
        <v>49932951436.833046</v>
      </c>
    </row>
    <row r="23" spans="1:2" x14ac:dyDescent="0.25">
      <c r="A23" s="19" t="s">
        <v>65</v>
      </c>
      <c r="B23" s="25">
        <f>B22/Assumptions!B31</f>
        <v>36.639970235421956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30.96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27.95036710578574</v>
      </c>
    </row>
    <row r="29" spans="1:2" x14ac:dyDescent="0.25">
      <c r="A29" s="19" t="s">
        <v>73</v>
      </c>
      <c r="B29" s="12">
        <f>B28/B26-1</f>
        <v>-0.09721036480020218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0.051225</v>
      </c>
      <c r="B5" s="31">
        <v>48.07024050308315</v>
      </c>
      <c r="C5" s="31">
        <v>50.616095634358814</v>
      </c>
      <c r="D5" s="31">
        <v>54.06379635326165</v>
      </c>
      <c r="E5" s="31">
        <v>59.050689364828486</v>
      </c>
      <c r="F5" s="31">
        <v>66.99975675780883</v>
      </c>
    </row>
    <row r="6" spans="1:6" x14ac:dyDescent="0.25">
      <c r="A6" s="30">
        <v>0.061225</v>
      </c>
      <c r="B6" s="31">
        <v>35.18905035994975</v>
      </c>
      <c r="C6" s="31">
        <v>35.755693467393534</v>
      </c>
      <c r="D6" s="31">
        <v>36.43094050824026</v>
      </c>
      <c r="E6" s="31">
        <v>37.266963107823656</v>
      </c>
      <c r="F6" s="31">
        <v>38.35572059430576</v>
      </c>
    </row>
    <row r="7" spans="1:6" x14ac:dyDescent="0.25">
      <c r="A7" s="30">
        <v>0.071225</v>
      </c>
      <c r="B7" s="31">
        <v>27.64609707059788</v>
      </c>
      <c r="C7" s="31">
        <v>27.79835650299275</v>
      </c>
      <c r="D7" s="32">
        <v>27.950615935387617</v>
      </c>
      <c r="E7" s="31">
        <v>28.102875367782488</v>
      </c>
      <c r="F7" s="31">
        <v>28.255134800177366</v>
      </c>
    </row>
    <row r="8" spans="1:6" x14ac:dyDescent="0.25">
      <c r="A8" s="30">
        <v>0.081225</v>
      </c>
      <c r="B8" s="31">
        <v>22.553668528115654</v>
      </c>
      <c r="C8" s="31">
        <v>22.681715035650832</v>
      </c>
      <c r="D8" s="31">
        <v>22.809761543186003</v>
      </c>
      <c r="E8" s="31">
        <v>22.93780805072118</v>
      </c>
      <c r="F8" s="31">
        <v>23.065854558256348</v>
      </c>
    </row>
    <row r="9" spans="1:6" x14ac:dyDescent="0.25">
      <c r="A9" s="30">
        <v>0.091225</v>
      </c>
      <c r="B9" s="31">
        <v>18.59472068595272</v>
      </c>
      <c r="C9" s="31">
        <v>18.70410412117244</v>
      </c>
      <c r="D9" s="31">
        <v>18.813487556392143</v>
      </c>
      <c r="E9" s="31">
        <v>18.922870991611862</v>
      </c>
      <c r="F9" s="31">
        <v>19.03225442683157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16603000000</v>
      </c>
      <c r="C5" s="18">
        <v>15351000000</v>
      </c>
      <c r="D5" s="18">
        <v>14814000000</v>
      </c>
      <c r="E5" s="18">
        <v>14057000000</v>
      </c>
      <c r="F5" s="8" t="s">
        <v>84</v>
      </c>
    </row>
    <row r="6" spans="1:6" x14ac:dyDescent="0.25">
      <c r="A6" t="s">
        <v>44</v>
      </c>
      <c r="B6" s="18">
        <v>3653000000</v>
      </c>
      <c r="C6" s="18">
        <v>3309000000</v>
      </c>
      <c r="D6" s="18">
        <v>3194000000</v>
      </c>
      <c r="E6" s="18">
        <v>2783000000</v>
      </c>
      <c r="F6" s="8" t="s">
        <v>85</v>
      </c>
    </row>
    <row r="7" spans="1:6" x14ac:dyDescent="0.25">
      <c r="A7" t="s">
        <v>86</v>
      </c>
      <c r="B7" s="18">
        <v>753000000</v>
      </c>
      <c r="C7" s="18">
        <v>733000000</v>
      </c>
      <c r="D7" s="18">
        <v>720000000</v>
      </c>
      <c r="E7" s="18">
        <v>709000000</v>
      </c>
      <c r="F7" s="8" t="s">
        <v>87</v>
      </c>
    </row>
    <row r="8" spans="1:6" x14ac:dyDescent="0.25">
      <c r="A8" t="s">
        <v>88</v>
      </c>
      <c r="B8" s="18">
        <v>503000000</v>
      </c>
      <c r="C8" s="18">
        <v>622000000</v>
      </c>
      <c r="D8" s="18">
        <v>481000000</v>
      </c>
      <c r="E8" s="18">
        <v>379000000</v>
      </c>
      <c r="F8" s="8" t="s">
        <v>89</v>
      </c>
    </row>
    <row r="9" spans="1:6" x14ac:dyDescent="0.25">
      <c r="A9" t="s">
        <v>90</v>
      </c>
      <c r="B9" s="18">
        <v>1003000000</v>
      </c>
      <c r="C9" s="18">
        <v>591000000</v>
      </c>
      <c r="D9" s="18">
        <v>1747000000</v>
      </c>
      <c r="E9" s="18">
        <v>275000000</v>
      </c>
      <c r="F9" s="8" t="s">
        <v>91</v>
      </c>
    </row>
    <row r="10" spans="1:6" x14ac:dyDescent="0.25">
      <c r="A10" t="s">
        <v>92</v>
      </c>
      <c r="B10" s="18">
        <v>16141000000</v>
      </c>
      <c r="C10" s="18">
        <v>15554000000</v>
      </c>
      <c r="D10" s="18">
        <v>14824000000</v>
      </c>
      <c r="E10" s="18">
        <v>13583000000</v>
      </c>
      <c r="F10" s="8" t="s">
        <v>93</v>
      </c>
    </row>
    <row r="11" spans="1:6" x14ac:dyDescent="0.25">
      <c r="A11" t="s">
        <v>94</v>
      </c>
      <c r="B11" s="18">
        <v>1026000000</v>
      </c>
      <c r="C11" s="18">
        <v>510000000</v>
      </c>
      <c r="D11" s="18">
        <v>267000000</v>
      </c>
      <c r="E11" s="18">
        <v>535000000</v>
      </c>
      <c r="F11" s="8" t="s">
        <v>95</v>
      </c>
    </row>
    <row r="12" spans="1:6" x14ac:dyDescent="0.25">
      <c r="A12" t="s">
        <v>32</v>
      </c>
      <c r="B12" s="34">
        <v>1362800000</v>
      </c>
      <c r="C12" s="34">
        <v>1368300000</v>
      </c>
      <c r="D12" s="34">
        <v>1408400000</v>
      </c>
      <c r="E12" s="34">
        <v>1428500000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