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<sst xmlns="http://schemas.openxmlformats.org/spreadsheetml/2006/main" count="119" uniqueCount="106">
  <si>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Keurig Dr Pepper Inc. (KDP)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</si>
  <si>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</si>
  <si>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</si>
  <si>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</si>
  <si>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</si>
  <si>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</si>
  <si>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</si>
  <si>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</si>
  <si>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</si>
  <si>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</si>
  <si>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</si>
  <si>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</si>
  <si>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</si>
  <si>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</si>
  <si>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</si>
  <si>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</si>
  <si>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</si>
  <si>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</si>
  <si>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</si>
  <si>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</si>
  <si>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</si>
  <si>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</si>
  <si>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</si>
  <si>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</si>
  <si>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4.8x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</si>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</sst>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0.21229074517665297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0.048035689824254796</v>
      </c>
    </row>
    <row r="10" spans="1:3" x14ac:dyDescent="0.25">
      <c r="A10" t="s">
        <v>7</v>
      </c>
      <c r="B10" s="5">
        <v>0.03256130115177752</v>
      </c>
      <c r="C10" s="6" t="s">
        <v>8</v>
      </c>
    </row>
    <row r="11" spans="1:2" x14ac:dyDescent="0.25">
      <c r="A11" t="s">
        <v>9</v>
      </c>
      <c r="B11" s="5">
        <v>-0.042681362767115566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14.500000406718112</v>
      </c>
    </row>
    <row r="14" spans="1:3" x14ac:dyDescent="0.25">
      <c r="A14" t="s">
        <v>12</v>
      </c>
      <c r="B14" s="5">
        <v>0.06713516989126189</v>
      </c>
      <c r="C14" s="6" t="s">
        <v>13</v>
      </c>
    </row>
    <row r="15" spans="1:3" x14ac:dyDescent="0.25">
      <c r="A15" t="s">
        <v>14</v>
      </c>
      <c r="B15" s="5">
        <v>0.027603919750538115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0.6047</v>
      </c>
      <c r="C19" s="6" t="s">
        <v>21</v>
      </c>
    </row>
    <row r="20" spans="1:2" x14ac:dyDescent="0.25">
      <c r="A20" t="s">
        <v>22</v>
      </c>
      <c r="B20" s="9">
        <f>B17+B19*B18</f>
        <v>0.07451881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48772001792</v>
      </c>
    </row>
    <row r="23" spans="1:2" x14ac:dyDescent="0.25">
      <c r="A23" t="s">
        <v>26</v>
      </c>
      <c r="B23" s="10">
        <v>16141000000</v>
      </c>
    </row>
    <row r="24" spans="1:2" x14ac:dyDescent="0.25">
      <c r="A24" t="s">
        <v>27</v>
      </c>
      <c r="B24" s="9">
        <f>B22/(B22+B23)</f>
        <v>0.7513441135919053</v>
      </c>
    </row>
    <row r="25" spans="1:2" x14ac:dyDescent="0.25">
      <c r="A25" t="s">
        <v>28</v>
      </c>
      <c r="B25" s="9">
        <f>1-B24</f>
        <v>0.24865588640809466</v>
      </c>
    </row>
    <row r="26" spans="1:2" x14ac:dyDescent="0.25">
      <c r="A26" t="s">
        <v>29</v>
      </c>
      <c r="B26" s="11">
        <f>B24*B20+B25*B21*(1-B8)</f>
        <v>0.06713516989126189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16603000000</v>
      </c>
      <c r="C29" s="6" t="s">
        <v>32</v>
      </c>
    </row>
    <row r="30" spans="1:2" x14ac:dyDescent="0.25">
      <c r="A30" t="s">
        <v>33</v>
      </c>
      <c r="B30" s="10">
        <v>15115000000</v>
      </c>
    </row>
    <row r="31" spans="1:2" x14ac:dyDescent="0.25">
      <c r="A31" t="s">
        <v>34</v>
      </c>
      <c r="B31" s="12">
        <v>1362800000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0.1381985495443856</v>
      </c>
      <c r="D5" s="5">
        <v>0.1240487308513374</v>
      </c>
      <c r="E5" s="5">
        <v>0.1098989121582892</v>
      </c>
      <c r="F5" s="5">
        <v>0.09574909346524099</v>
      </c>
      <c r="G5" s="5">
        <v>0.0815992747721928</v>
      </c>
      <c r="H5" s="5">
        <v>0.0674494560791446</v>
      </c>
      <c r="I5" s="5">
        <v>0.05329963738609639</v>
      </c>
      <c r="J5" s="5">
        <v>0.03914981869304819</v>
      </c>
      <c r="K5" s="5">
        <v>0.024999999999999994</v>
      </c>
    </row>
    <row r="6" spans="1:11" x14ac:dyDescent="0.25">
      <c r="A6" t="s">
        <v>50</v>
      </c>
      <c r="B6" s="18">
        <f>Assumptions!B29*(1+B5)</f>
        <v>24904500000</v>
      </c>
      <c r="C6" s="18">
        <f>B6*(1+C5)</f>
        <v>28346265777.12815</v>
      </c>
      <c r="D6" s="18">
        <f>C6*(1+D5)</f>
        <v>31862584071.155598</v>
      </c>
      <c r="E6" s="18">
        <f>D6*(1+E5)</f>
        <v>35364247399.12763</v>
      </c>
      <c r="F6" s="18">
        <f>E6*(1+F5)</f>
        <v>38750342028.67461</v>
      </c>
      <c r="G6" s="18">
        <f>F6*(1+G5)</f>
        <v>41912341835.38888</v>
      </c>
      <c r="H6" s="18">
        <f>G6*(1+H5)</f>
        <v>44739306495.18903</v>
      </c>
      <c r="I6" s="18">
        <f>H6*(1+I5)</f>
        <v>47123895308.28803</v>
      </c>
      <c r="J6" s="18">
        <f>I6*(1+J5)</f>
        <v>48968787265.71769</v>
      </c>
      <c r="K6" s="18">
        <f>J6*(1+K5)</f>
        <v>50193006947.36063</v>
      </c>
    </row>
    <row r="7" spans="1:11" x14ac:dyDescent="0.25">
      <c r="A7" t="s">
        <v>4</v>
      </c>
      <c r="B7" s="9">
        <f>Assumptions!B7</f>
        <v>0.21229074517665297</v>
      </c>
      <c r="C7" s="9">
        <f>Assumptions!B7</f>
        <v>0.21229074517665297</v>
      </c>
      <c r="D7" s="9">
        <f>Assumptions!B7</f>
        <v>0.21229074517665297</v>
      </c>
      <c r="E7" s="9">
        <f>Assumptions!B7</f>
        <v>0.21229074517665297</v>
      </c>
      <c r="F7" s="9">
        <f>Assumptions!B7</f>
        <v>0.21229074517665297</v>
      </c>
      <c r="G7" s="9">
        <f>Assumptions!B7</f>
        <v>0.21229074517665297</v>
      </c>
      <c r="H7" s="9">
        <f>Assumptions!B7</f>
        <v>0.21229074517665297</v>
      </c>
      <c r="I7" s="9">
        <f>Assumptions!B7</f>
        <v>0.21229074517665297</v>
      </c>
      <c r="J7" s="9">
        <f>Assumptions!B7</f>
        <v>0.21229074517665297</v>
      </c>
      <c r="K7" s="9">
        <f>Assumptions!B7</f>
        <v>0.21229074517665297</v>
      </c>
    </row>
    <row r="8" spans="1:11" x14ac:dyDescent="0.25">
      <c r="A8" t="s">
        <v>51</v>
      </c>
      <c r="B8" s="18">
        <f>B6*B7</f>
        <v>5286994863.251954</v>
      </c>
      <c r="C8" s="18">
        <f>C6*C7</f>
        <v>6017649884.801991</v>
      </c>
      <c r="D8" s="18">
        <f>D6*D7</f>
        <v>6764131715.719375</v>
      </c>
      <c r="E8" s="18">
        <f>E6*E7</f>
        <v>7507502432.972317</v>
      </c>
      <c r="F8" s="18">
        <f>F6*F7</f>
        <v>8226338985.117507</v>
      </c>
      <c r="G8" s="18">
        <f>G6*G7</f>
        <v>8897602280.333313</v>
      </c>
      <c r="H8" s="18">
        <f>H6*H7</f>
        <v>9497740714.55035</v>
      </c>
      <c r="I8" s="18">
        <f>I6*I7</f>
        <v>10003966850.623047</v>
      </c>
      <c r="J8" s="18">
        <f>J6*J7</f>
        <v>10395620339.036203</v>
      </c>
      <c r="K8" s="18">
        <f>K6*K7</f>
        <v>10655510847.512108</v>
      </c>
    </row>
    <row r="9" spans="1:11" x14ac:dyDescent="0.25">
      <c r="A9" t="s">
        <v>52</v>
      </c>
      <c r="B9" s="18">
        <f>B8*(1-Assumptions!B8)</f>
        <v>4176725941.9690437</v>
      </c>
      <c r="C9" s="18">
        <f>C8*(1-Assumptions!B8)</f>
        <v>4753943408.993573</v>
      </c>
      <c r="D9" s="18">
        <f>D8*(1-Assumptions!B8)</f>
        <v>5343664055.418306</v>
      </c>
      <c r="E9" s="18">
        <f>E8*(1-Assumptions!B8)</f>
        <v>5930926922.04813</v>
      </c>
      <c r="F9" s="18">
        <f>F8*(1-Assumptions!B8)</f>
        <v>6498807798.242831</v>
      </c>
      <c r="G9" s="18">
        <f>G8*(1-Assumptions!B8)</f>
        <v>7029105801.463318</v>
      </c>
      <c r="H9" s="18">
        <f>H8*(1-Assumptions!B8)</f>
        <v>7503215164.494777</v>
      </c>
      <c r="I9" s="18">
        <f>I8*(1-Assumptions!B8)</f>
        <v>7903133811.992208</v>
      </c>
      <c r="J9" s="18">
        <f>J8*(1-Assumptions!B8)</f>
        <v>8212540067.838601</v>
      </c>
      <c r="K9" s="18">
        <f>K8*(1-Assumptions!B8)</f>
        <v>8417853569.534566</v>
      </c>
    </row>
    <row r="10" spans="1:11" x14ac:dyDescent="0.25">
      <c r="A10" t="s">
        <v>53</v>
      </c>
      <c r="B10" s="18">
        <f>B6*Assumptions!B9</f>
        <v>1196304837.2281535</v>
      </c>
      <c r="C10" s="18">
        <f>C6*Assumptions!B9</f>
        <v>1361632430.5460167</v>
      </c>
      <c r="D10" s="18">
        <f>D6*Assumptions!B9</f>
        <v>1530541205.4412718</v>
      </c>
      <c r="E10" s="18">
        <f>E6*Assumptions!B9</f>
        <v>1698746018.9327042</v>
      </c>
      <c r="F10" s="18">
        <f>F6*Assumptions!B9</f>
        <v>1861399410.2731977</v>
      </c>
      <c r="G10" s="18">
        <f>G6*Assumptions!B9</f>
        <v>2013288252.212878</v>
      </c>
      <c r="H10" s="18">
        <f>H6*Assumptions!B9</f>
        <v>2149083449.7551684</v>
      </c>
      <c r="I10" s="18">
        <f>I6*Assumptions!B9</f>
        <v>2263628818.3395796</v>
      </c>
      <c r="J10" s="18">
        <f>J6*Assumptions!B9</f>
        <v>2352249476.165933</v>
      </c>
      <c r="K10" s="18">
        <f>K6*Assumptions!B9</f>
        <v>2411055713.070081</v>
      </c>
    </row>
    <row r="11" spans="1:11" x14ac:dyDescent="0.25">
      <c r="A11" t="s">
        <v>54</v>
      </c>
      <c r="B11" s="18">
        <f>-B6*B19</f>
        <v>-810922924.5344433</v>
      </c>
      <c r="C11" s="18">
        <f>-C6*C19</f>
        <v>-1123007389.5811074</v>
      </c>
      <c r="D11" s="18">
        <f>-D6*D19</f>
        <v>-1487142866.5759075</v>
      </c>
      <c r="E11" s="18">
        <f>-E6*E19</f>
        <v>-1900114419.970359</v>
      </c>
      <c r="F11" s="18">
        <f>-F6*F19</f>
        <v>-2355477685.3736525</v>
      </c>
      <c r="G11" s="18">
        <f>-G6*G19</f>
        <v>-2843423599.183197</v>
      </c>
      <c r="H11" s="18">
        <f>-H6*H19</f>
        <v>-3350899162.798543</v>
      </c>
      <c r="I11" s="18">
        <f>-I6*I19</f>
        <v>-3862015127.512259</v>
      </c>
      <c r="J11" s="18">
        <f>-J6*J19</f>
        <v>-4358744446.736718</v>
      </c>
      <c r="K11" s="18">
        <f>-K6*K19</f>
        <v>-4821883488.277493</v>
      </c>
    </row>
    <row r="12" spans="1:11" x14ac:dyDescent="0.25">
      <c r="A12" t="s">
        <v>55</v>
      </c>
      <c r="B12" s="18">
        <f>-(B6-Assumptions!B29)*Assumptions!B11</f>
        <v>354319333.01120985</v>
      </c>
      <c r="C12" s="18">
        <f>-(C6-B6)*Assumptions!B11</f>
        <v>146899253.69305003</v>
      </c>
      <c r="D12" s="18">
        <f>-(D6-C6)*Assumptions!B11</f>
        <v>150081256.71203038</v>
      </c>
      <c r="E12" s="18">
        <f>-(E6-D6)*Assumptions!B11</f>
        <v>149455762.78947958</v>
      </c>
      <c r="F12" s="18">
        <f>-(F6-E6)*Assumptions!B11</f>
        <v>144523133.2474762</v>
      </c>
      <c r="G12" s="18">
        <f>-(G6-F6)*Assumptions!B11</f>
        <v>134958460.81992114</v>
      </c>
      <c r="H12" s="18">
        <f>-(H6-G6)*Assumptions!B11</f>
        <v>120658704.17474589</v>
      </c>
      <c r="I12" s="18">
        <f>-(I6-H6)*Assumptions!B11</f>
        <v>101777500.18228392</v>
      </c>
      <c r="J12" s="18">
        <f>-(J6-I6)*Assumptions!B11</f>
        <v>78742502.90118912</v>
      </c>
      <c r="K12" s="18">
        <f>-(K6-J6)*Assumptions!B11</f>
        <v>52251364.33884491</v>
      </c>
    </row>
    <row r="13" spans="1:11" x14ac:dyDescent="0.25">
      <c r="A13" s="19" t="s">
        <v>56</v>
      </c>
      <c r="B13" s="20">
        <f>B9+B10+B11+B12</f>
        <v>4916427187.673964</v>
      </c>
      <c r="C13" s="20">
        <f>C9+C10+C11+C12</f>
        <v>5139467703.651533</v>
      </c>
      <c r="D13" s="20">
        <f>D9+D10+D11+D12</f>
        <v>5537143650.995701</v>
      </c>
      <c r="E13" s="20">
        <f>E9+E10+E11+E12</f>
        <v>5879014283.799954</v>
      </c>
      <c r="F13" s="20">
        <f>F9+F10+F11+F12</f>
        <v>6149252656.3898535</v>
      </c>
      <c r="G13" s="20">
        <f>G9+G10+G11+G12</f>
        <v>6333928915.31292</v>
      </c>
      <c r="H13" s="20">
        <f>H9+H10+H11+H12</f>
        <v>6422058155.626147</v>
      </c>
      <c r="I13" s="20">
        <f>I9+I10+I11+I12</f>
        <v>6406525003.001813</v>
      </c>
      <c r="J13" s="20">
        <f>J9+J10+J11+J12</f>
        <v>6284787600.169004</v>
      </c>
      <c r="K13" s="20">
        <f>K9+K10+K11+K12</f>
        <v>6059277158.665999</v>
      </c>
    </row>
    <row r="14" spans="1:11" x14ac:dyDescent="0.25">
      <c r="A14" t="s">
        <v>57</v>
      </c>
      <c r="B14" s="21">
        <f>1/(1+Assumptions!$B$26)^(1-0.5*Assumptions!$B$32)</f>
        <v>0.9680332692458904</v>
      </c>
      <c r="C14" s="21">
        <f>1/(1+Assumptions!$B$26)^(2-0.5*Assumptions!$B$32)</f>
        <v>0.9071327574598917</v>
      </c>
      <c r="D14" s="21">
        <f>1/(1+Assumptions!$B$26)^(3-0.5*Assumptions!$B$32)</f>
        <v>0.8500635936798203</v>
      </c>
      <c r="E14" s="21">
        <f>1/(1+Assumptions!$B$26)^(4-0.5*Assumptions!$B$32)</f>
        <v>0.7965847417121857</v>
      </c>
      <c r="F14" s="21">
        <f>1/(1+Assumptions!$B$26)^(5-0.5*Assumptions!$B$32)</f>
        <v>0.746470329333589</v>
      </c>
      <c r="G14" s="21">
        <f>1/(1+Assumptions!$B$26)^(6-0.5*Assumptions!$B$32)</f>
        <v>0.6995086943012592</v>
      </c>
      <c r="H14" s="21">
        <f>1/(1+Assumptions!$B$26)^(7-0.5*Assumptions!$B$32)</f>
        <v>0.6555014903805834</v>
      </c>
      <c r="I14" s="21">
        <f>1/(1+Assumptions!$B$26)^(8-0.5*Assumptions!$B$32)</f>
        <v>0.6142628496138658</v>
      </c>
      <c r="J14" s="21">
        <f>1/(1+Assumptions!$B$26)^(9-0.5*Assumptions!$B$32)</f>
        <v>0.5756185972920914</v>
      </c>
      <c r="K14" s="21">
        <f>1/(1+Assumptions!$B$26)^(10-0.5*Assumptions!$B$32)</f>
        <v>0.539405516314063</v>
      </c>
    </row>
    <row r="15" spans="1:11" x14ac:dyDescent="0.25">
      <c r="A15" s="19" t="s">
        <v>58</v>
      </c>
      <c r="B15" s="20">
        <f>B13*B14</f>
        <v>4759265083.493405</v>
      </c>
      <c r="C15" s="20">
        <f>C13*C14</f>
        <v>4662179509.889473</v>
      </c>
      <c r="D15" s="20">
        <f>D13*D14</f>
        <v>4706924230.686807</v>
      </c>
      <c r="E15" s="20">
        <f>E13*E14</f>
        <v>4683133074.783037</v>
      </c>
      <c r="F15" s="20">
        <f>F13*F14</f>
        <v>4590234655.570781</v>
      </c>
      <c r="G15" s="20">
        <f>G13*G14</f>
        <v>4430638345.347531</v>
      </c>
      <c r="H15" s="20">
        <f>H13*H14</f>
        <v>4209668692.32372</v>
      </c>
      <c r="I15" s="20">
        <f>I13*I14</f>
        <v>3935290304.466374</v>
      </c>
      <c r="J15" s="20">
        <f>J13*J14</f>
        <v>3617640622.6880116</v>
      </c>
      <c r="K15" s="20">
        <f>K13*K14</f>
        <v>3268407524.260242</v>
      </c>
    </row>
    <row r="17" spans="1:2" x14ac:dyDescent="0.25">
      <c r="A17" s="22" t="s">
        <v>59</v>
      </c>
      <c r="B17" s="23">
        <f>SUM(B15:K15)</f>
        <v>42863382043.50938</v>
      </c>
    </row>
    <row r="19" spans="1:11" x14ac:dyDescent="0.25">
      <c r="A19" t="s">
        <v>7</v>
      </c>
      <c r="B19" s="9">
        <f>Assumptions!$B$10+($B$20-Assumptions!$B$10)*0/9</f>
        <v>0.03256130115177752</v>
      </c>
      <c r="C19" s="9">
        <f>Assumptions!$B$10+($B$20-Assumptions!$B$10)*1/9</f>
        <v>0.03961747195947172</v>
      </c>
      <c r="D19" s="9">
        <f>Assumptions!$B$10+($B$20-Assumptions!$B$10)*2/9</f>
        <v>0.046673642767165915</v>
      </c>
      <c r="E19" s="9">
        <f>Assumptions!$B$10+($B$20-Assumptions!$B$10)*3/9</f>
        <v>0.053729813574860105</v>
      </c>
      <c r="F19" s="9">
        <f>Assumptions!$B$10+($B$20-Assumptions!$B$10)*4/9</f>
        <v>0.06078598438255431</v>
      </c>
      <c r="G19" s="9">
        <f>Assumptions!$B$10+($B$20-Assumptions!$B$10)*5/9</f>
        <v>0.0678421551902485</v>
      </c>
      <c r="H19" s="9">
        <f>Assumptions!$B$10+($B$20-Assumptions!$B$10)*6/9</f>
        <v>0.07489832599794269</v>
      </c>
      <c r="I19" s="9">
        <f>Assumptions!$B$10+($B$20-Assumptions!$B$10)*7/9</f>
        <v>0.08195449680563689</v>
      </c>
      <c r="J19" s="9">
        <f>Assumptions!$B$10+($B$20-Assumptions!$B$10)*8/9</f>
        <v>0.0890106676133311</v>
      </c>
      <c r="K19" s="9">
        <f>Assumptions!$B$10+($B$20-Assumptions!$B$10)*9/9</f>
        <v>0.09606683842102529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0.09606683842102529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6059277158.665999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9228023831.567545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0.37238306003384264</v>
      </c>
    </row>
    <row r="7" spans="1:2" x14ac:dyDescent="0.25">
      <c r="A7" t="s">
        <v>66</v>
      </c>
      <c r="B7" s="18">
        <f>-MAX(B5,0)*B6</f>
        <v>-3436359752.464348</v>
      </c>
    </row>
    <row r="8" spans="1:2" x14ac:dyDescent="0.25">
      <c r="A8" t="s">
        <v>67</v>
      </c>
      <c r="B8" s="18">
        <f>IF(OR(Assumptions!$B$33=0,Assumptions!B12&lt;=0),B5,MAX(B5+B7,0))</f>
        <v>5791664079.103197</v>
      </c>
    </row>
    <row r="9" spans="1:2" x14ac:dyDescent="0.25">
      <c r="A9" t="s">
        <v>68</v>
      </c>
      <c r="B9" s="18">
        <f>B8*(1+Assumptions!B12)/(Assumptions!B26-Assumptions!B12)</f>
        <v>140890749851.0382</v>
      </c>
    </row>
    <row r="10" spans="1:2" x14ac:dyDescent="0.25">
      <c r="A10" t="s">
        <v>69</v>
      </c>
      <c r="B10" s="18">
        <f>B9/(1+Assumptions!B26)^(10-0.5*Assumptions!B32)</f>
        <v>75997247667.27475</v>
      </c>
    </row>
    <row r="11" spans="1:2" x14ac:dyDescent="0.25">
      <c r="A11" t="s">
        <v>70</v>
      </c>
      <c r="B11" s="18">
        <f>Forecast!B17+B10</f>
        <v>118860629710.78412</v>
      </c>
    </row>
    <row r="12" spans="1:2" x14ac:dyDescent="0.25">
      <c r="A12" t="s">
        <v>71</v>
      </c>
      <c r="B12" s="18">
        <f>-Assumptions!B30</f>
        <v>-15115000000</v>
      </c>
    </row>
    <row r="13" spans="1:2" x14ac:dyDescent="0.25">
      <c r="A13" t="s">
        <v>72</v>
      </c>
      <c r="B13" s="18">
        <f>B11+B12</f>
        <v>103745629710.78412</v>
      </c>
    </row>
    <row r="14" spans="1:2" x14ac:dyDescent="0.25">
      <c r="A14" s="19" t="s">
        <v>73</v>
      </c>
      <c r="B14" s="24">
        <f>B13/Assumptions!B31</f>
        <v>76.1268195705783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13066566560.58219</v>
      </c>
    </row>
    <row r="18" spans="1:2" x14ac:dyDescent="0.25">
      <c r="A18" t="s">
        <v>68</v>
      </c>
      <c r="B18" s="18">
        <f>B17*Assumptions!B13</f>
        <v>189465220442.851</v>
      </c>
    </row>
    <row r="19" spans="1:2" x14ac:dyDescent="0.25">
      <c r="A19" t="s">
        <v>69</v>
      </c>
      <c r="B19" s="18">
        <f>B18/(1+Assumptions!B26)^(10-0.5*Assumptions!B32)</f>
        <v>102198585056.53381</v>
      </c>
    </row>
    <row r="20" spans="1:2" x14ac:dyDescent="0.25">
      <c r="A20" t="s">
        <v>70</v>
      </c>
      <c r="B20" s="18">
        <f>Forecast!B17+B19</f>
        <v>145061967100.04318</v>
      </c>
    </row>
    <row r="21" spans="1:2" x14ac:dyDescent="0.25">
      <c r="A21" t="s">
        <v>71</v>
      </c>
      <c r="B21" s="18">
        <f>-Assumptions!B30</f>
        <v>-15115000000</v>
      </c>
    </row>
    <row r="22" spans="1:2" x14ac:dyDescent="0.25">
      <c r="A22" t="s">
        <v>72</v>
      </c>
      <c r="B22" s="18">
        <f>B20+B21</f>
        <v>129946967100.04318</v>
      </c>
    </row>
    <row r="23" spans="1:2" x14ac:dyDescent="0.25">
      <c r="A23" s="19" t="s">
        <v>73</v>
      </c>
      <c r="B23" s="25">
        <f>B22/Assumptions!B31</f>
        <v>95.35292566777457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76.1268195705783</v>
      </c>
    </row>
    <row r="29" spans="1:2" x14ac:dyDescent="0.25">
      <c r="A29" s="19" t="s">
        <v>81</v>
      </c>
      <c r="B29" s="11">
        <f>B28/B26-1</f>
        <v>1.1240742067683676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0.047135</v>
      </c>
      <c r="B5" s="31">
        <v>132.80039780366317</v>
      </c>
      <c r="C5" s="31">
        <v>138.7724702104541</v>
      </c>
      <c r="D5" s="31">
        <v>148.04378546204524</v>
      </c>
      <c r="E5" s="31">
        <v>163.50250478820064</v>
      </c>
      <c r="F5" s="31">
        <v>192.79684088924685</v>
      </c>
    </row>
    <row r="6" spans="1:6" x14ac:dyDescent="0.25">
      <c r="A6" s="30">
        <v>0.057135</v>
      </c>
      <c r="B6" s="31">
        <v>98.81899406790055</v>
      </c>
      <c r="C6" s="31">
        <v>99.25255610353788</v>
      </c>
      <c r="D6" s="31">
        <v>100.21132052905877</v>
      </c>
      <c r="E6" s="31">
        <v>101.98561481261338</v>
      </c>
      <c r="F6" s="31">
        <v>105.12809076673868</v>
      </c>
    </row>
    <row r="7" spans="1:6" x14ac:dyDescent="0.25">
      <c r="A7" s="30">
        <v>0.067135</v>
      </c>
      <c r="B7" s="31">
        <v>78.42852359893622</v>
      </c>
      <c r="C7" s="31">
        <v>77.27778706851313</v>
      </c>
      <c r="D7" s="32">
        <v>76.12705053809002</v>
      </c>
      <c r="E7" s="31">
        <v>74.97631400766693</v>
      </c>
      <c r="F7" s="31">
        <v>73.8255774772438</v>
      </c>
    </row>
    <row r="8" spans="1:6" x14ac:dyDescent="0.25">
      <c r="A8" s="30">
        <v>0.077135</v>
      </c>
      <c r="B8" s="31">
        <v>66.20113064532828</v>
      </c>
      <c r="C8" s="31">
        <v>65.25558007729282</v>
      </c>
      <c r="D8" s="31">
        <v>64.31002950925736</v>
      </c>
      <c r="E8" s="31">
        <v>63.364478941221876</v>
      </c>
      <c r="F8" s="31">
        <v>62.4189283731864</v>
      </c>
    </row>
    <row r="9" spans="1:6" x14ac:dyDescent="0.25">
      <c r="A9" s="30">
        <v>0.087135</v>
      </c>
      <c r="B9" s="31">
        <v>56.81372999875858</v>
      </c>
      <c r="C9" s="31">
        <v>56.02281887451552</v>
      </c>
      <c r="D9" s="31">
        <v>55.23190775027245</v>
      </c>
      <c r="E9" s="31">
        <v>54.44099662602941</v>
      </c>
      <c r="F9" s="31">
        <v>53.65008550178633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16603000000</v>
      </c>
      <c r="C5" s="18">
        <v>15351000000</v>
      </c>
      <c r="D5" s="18">
        <v>14814000000</v>
      </c>
      <c r="E5" s="18">
        <v>14057000000</v>
      </c>
      <c r="F5" s="6" t="s">
        <v>91</v>
      </c>
    </row>
    <row r="6" spans="1:6" x14ac:dyDescent="0.25">
      <c r="A6" t="s">
        <v>51</v>
      </c>
      <c r="B6" s="18">
        <v>3653000000</v>
      </c>
      <c r="C6" s="18">
        <v>3309000000</v>
      </c>
      <c r="D6" s="18">
        <v>3194000000</v>
      </c>
      <c r="E6" s="18">
        <v>2783000000</v>
      </c>
      <c r="F6" s="6" t="s">
        <v>92</v>
      </c>
    </row>
    <row r="7" spans="1:6" x14ac:dyDescent="0.25">
      <c r="A7" t="s">
        <v>93</v>
      </c>
      <c r="B7" s="18">
        <v>753000000</v>
      </c>
      <c r="C7" s="18">
        <v>733000000</v>
      </c>
      <c r="D7" s="18">
        <v>720000000</v>
      </c>
      <c r="E7" s="18">
        <v>709000000</v>
      </c>
      <c r="F7" s="6" t="s">
        <v>94</v>
      </c>
    </row>
    <row r="8" spans="1:6" x14ac:dyDescent="0.25">
      <c r="A8" t="s">
        <v>95</v>
      </c>
      <c r="B8" s="18">
        <v>503000000</v>
      </c>
      <c r="C8" s="18">
        <v>622000000</v>
      </c>
      <c r="D8" s="18">
        <v>481000000</v>
      </c>
      <c r="E8" s="18">
        <v>379000000</v>
      </c>
      <c r="F8" s="6" t="s">
        <v>96</v>
      </c>
    </row>
    <row r="9" spans="1:6" x14ac:dyDescent="0.25">
      <c r="A9" t="s">
        <v>97</v>
      </c>
      <c r="B9" s="18">
        <v>1003000000</v>
      </c>
      <c r="C9" s="18">
        <v>591000000</v>
      </c>
      <c r="D9" s="18">
        <v>1747000000</v>
      </c>
      <c r="E9" s="18">
        <v>275000000</v>
      </c>
      <c r="F9" s="6" t="s">
        <v>98</v>
      </c>
    </row>
    <row r="10" spans="1:6" x14ac:dyDescent="0.25">
      <c r="A10" t="s">
        <v>99</v>
      </c>
      <c r="B10" s="18">
        <v>16141000000</v>
      </c>
      <c r="C10" s="18">
        <v>15554000000</v>
      </c>
      <c r="D10" s="18">
        <v>14824000000</v>
      </c>
      <c r="E10" s="18">
        <v>13583000000</v>
      </c>
      <c r="F10" s="6" t="s">
        <v>100</v>
      </c>
    </row>
    <row r="11" spans="1:6" x14ac:dyDescent="0.25">
      <c r="A11" t="s">
        <v>101</v>
      </c>
      <c r="B11" s="18">
        <v>1026000000</v>
      </c>
      <c r="C11" s="18">
        <v>510000000</v>
      </c>
      <c r="D11" s="18">
        <v>267000000</v>
      </c>
      <c r="E11" s="18">
        <v>535000000</v>
      </c>
      <c r="F11" s="6" t="s">
        <v>102</v>
      </c>
    </row>
    <row r="12" spans="1:6" x14ac:dyDescent="0.25">
      <c r="A12" t="s">
        <v>34</v>
      </c>
      <c r="B12" s="34">
        <v>1362800000</v>
      </c>
      <c r="C12" s="34">
        <v>1368300000</v>
      </c>
      <c r="D12" s="34">
        <v>1408400000</v>
      </c>
      <c r="E12" s="34">
        <v>1428500000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