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<sst xmlns="http://schemas.openxmlformats.org/spreadsheetml/2006/main" count="112" uniqueCount="100">
  <si>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Kering SA (KER.PA)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</si>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</sst>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-0.10326500468615607</v>
      </c>
    </row>
    <row r="7" spans="1:2" x14ac:dyDescent="0.25">
      <c r="A7" t="s">
        <v>5</v>
      </c>
      <c r="B7" s="6">
        <v>0.19323410714306413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0.10988546515488753</v>
      </c>
    </row>
    <row r="10" spans="1:2" x14ac:dyDescent="0.25">
      <c r="A10" t="s">
        <v>8</v>
      </c>
      <c r="B10" s="6">
        <v>0.1096828657322476</v>
      </c>
    </row>
    <row r="11" spans="1:2" x14ac:dyDescent="0.25">
      <c r="A11" t="s">
        <v>9</v>
      </c>
      <c r="B11" s="6">
        <v>0.031832651205093224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11.539068064217687</v>
      </c>
    </row>
    <row r="14" spans="1:3" x14ac:dyDescent="0.25">
      <c r="A14" t="s">
        <v>12</v>
      </c>
      <c r="B14" s="6">
        <v>0.09745483305652278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0.99464</v>
      </c>
      <c r="C19" s="8" t="s">
        <v>19</v>
      </c>
    </row>
    <row r="20" spans="1:2" x14ac:dyDescent="0.25">
      <c r="A20" t="s">
        <v>20</v>
      </c>
      <c r="B20" s="10">
        <f>B17+B19*B18</f>
        <v>0.0916784</v>
      </c>
    </row>
    <row r="21" spans="1:3" x14ac:dyDescent="0.25">
      <c r="A21" t="s">
        <v>21</v>
      </c>
      <c r="B21" s="6">
        <v>0.03254028361756026</v>
      </c>
      <c r="C21" s="8" t="s">
        <v>22</v>
      </c>
    </row>
    <row r="22" spans="1:2" x14ac:dyDescent="0.25">
      <c r="A22" t="s">
        <v>23</v>
      </c>
      <c r="B22" s="11">
        <v>28570075136</v>
      </c>
    </row>
    <row r="23" spans="1:2" x14ac:dyDescent="0.25">
      <c r="A23" t="s">
        <v>24</v>
      </c>
      <c r="B23" s="11">
        <v>18149000000</v>
      </c>
    </row>
    <row r="24" spans="1:2" x14ac:dyDescent="0.25">
      <c r="A24" t="s">
        <v>25</v>
      </c>
      <c r="B24" s="10">
        <f>B22/(B22+B23)</f>
        <v>0.6115291249416226</v>
      </c>
    </row>
    <row r="25" spans="1:2" x14ac:dyDescent="0.25">
      <c r="A25" t="s">
        <v>26</v>
      </c>
      <c r="B25" s="10">
        <f>1-B24</f>
        <v>0.3884708750583774</v>
      </c>
    </row>
    <row r="26" spans="1:2" x14ac:dyDescent="0.25">
      <c r="A26" t="s">
        <v>27</v>
      </c>
      <c r="B26" s="12">
        <f>B24*B20+B25*B21*(1-B8)</f>
        <v>0.06544359844710662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14675000000</v>
      </c>
      <c r="C29" s="8" t="s">
        <v>30</v>
      </c>
    </row>
    <row r="30" spans="1:2" x14ac:dyDescent="0.25">
      <c r="A30" t="s">
        <v>31</v>
      </c>
      <c r="B30" s="11">
        <v>13836000000</v>
      </c>
    </row>
    <row r="31" spans="1:2" x14ac:dyDescent="0.25">
      <c r="A31" t="s">
        <v>32</v>
      </c>
      <c r="B31" s="13">
        <v>122728556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-0.10326500468615607</v>
      </c>
      <c r="C5" s="10">
        <f>Assumptions!B6</f>
        <v>-0.10326500468615607</v>
      </c>
      <c r="D5" s="10">
        <f>Assumptions!B6</f>
        <v>-0.10326500468615607</v>
      </c>
      <c r="E5" s="10">
        <f>Assumptions!B6</f>
        <v>-0.10326500468615607</v>
      </c>
      <c r="F5" s="10">
        <f>Assumptions!B6</f>
        <v>-0.10326500468615607</v>
      </c>
    </row>
    <row r="6" spans="1:6" x14ac:dyDescent="0.25">
      <c r="A6" t="s">
        <v>43</v>
      </c>
      <c r="B6" s="18">
        <f>Assumptions!B29*(1+B5)</f>
        <v>13159586056.23066</v>
      </c>
      <c r="C6" s="18">
        <f>B6*(1+C5)</f>
        <v>11800661340.466125</v>
      </c>
      <c r="D6" s="18">
        <f>C6*(1+D5)</f>
        <v>10582065991.843151</v>
      </c>
      <c r="E6" s="18">
        <f>D6*(1+E5)</f>
        <v>9489308897.606255</v>
      </c>
      <c r="F6" s="18">
        <f>E6*(1+F5)</f>
        <v>8509395369.826562</v>
      </c>
    </row>
    <row r="7" spans="1:6" x14ac:dyDescent="0.25">
      <c r="A7" t="s">
        <v>5</v>
      </c>
      <c r="B7" s="10">
        <f>Assumptions!B7</f>
        <v>0.19323410714306413</v>
      </c>
      <c r="C7" s="10">
        <f>Assumptions!B7</f>
        <v>0.19323410714306413</v>
      </c>
      <c r="D7" s="10">
        <f>Assumptions!B7</f>
        <v>0.19323410714306413</v>
      </c>
      <c r="E7" s="10">
        <f>Assumptions!B7</f>
        <v>0.19323410714306413</v>
      </c>
      <c r="F7" s="10">
        <f>Assumptions!B7</f>
        <v>0.19323410714306413</v>
      </c>
    </row>
    <row r="8" spans="1:6" x14ac:dyDescent="0.25">
      <c r="A8" t="s">
        <v>44</v>
      </c>
      <c r="B8" s="18">
        <f>B6*B7</f>
        <v>2542880861.948048</v>
      </c>
      <c r="C8" s="18">
        <f>C6*C7</f>
        <v>2280290257.822646</v>
      </c>
      <c r="D8" s="18">
        <f>D6*D7</f>
        <v>2044816073.6627946</v>
      </c>
      <c r="E8" s="18">
        <f>E6*E7</f>
        <v>1833658132.2336788</v>
      </c>
      <c r="F8" s="18">
        <f>F6*F7</f>
        <v>1644305416.6157596</v>
      </c>
    </row>
    <row r="9" spans="1:6" x14ac:dyDescent="0.25">
      <c r="A9" t="s">
        <v>45</v>
      </c>
      <c r="B9" s="18">
        <f>B8*(1-Assumptions!B8)</f>
        <v>1886817599.5654516</v>
      </c>
      <c r="C9" s="18">
        <f>C8*(1-Assumptions!B8)</f>
        <v>1691975371.3044033</v>
      </c>
      <c r="D9" s="18">
        <f>D8*(1-Assumptions!B8)</f>
        <v>1517253526.6577935</v>
      </c>
      <c r="E9" s="18">
        <f>E8*(1-Assumptions!B8)</f>
        <v>1360574334.1173897</v>
      </c>
      <c r="F9" s="18">
        <f>F8*(1-Assumptions!B8)</f>
        <v>1220074619.1288936</v>
      </c>
    </row>
    <row r="10" spans="1:6" x14ac:dyDescent="0.25">
      <c r="A10" t="s">
        <v>46</v>
      </c>
      <c r="B10" s="18">
        <f>B6*Assumptions!B9</f>
        <v>1446047235.034678</v>
      </c>
      <c r="C10" s="18">
        <f>C6*Assumptions!B9</f>
        <v>1296721160.532419</v>
      </c>
      <c r="D10" s="18">
        <f>D6*Assumptions!B9</f>
        <v>1162815243.813401</v>
      </c>
      <c r="E10" s="18">
        <f>E6*Assumptions!B9</f>
        <v>1042737122.2118764</v>
      </c>
      <c r="F10" s="18">
        <f>F6*Assumptions!B9</f>
        <v>935058868.400238</v>
      </c>
    </row>
    <row r="11" spans="1:6" x14ac:dyDescent="0.25">
      <c r="A11" t="s">
        <v>47</v>
      </c>
      <c r="B11" s="18">
        <f>-B6*Assumptions!B10</f>
        <v>-1443381110.4975052</v>
      </c>
      <c r="C11" s="18">
        <f>-C6*Assumptions!B10</f>
        <v>-1294330353.358071</v>
      </c>
      <c r="D11" s="18">
        <f>-D6*Assumptions!B10</f>
        <v>-1160671323.3531158</v>
      </c>
      <c r="E11" s="18">
        <f>-E6*Assumptions!B10</f>
        <v>-1040814593.7079693</v>
      </c>
      <c r="F11" s="18">
        <f>-F6*Assumptions!B10</f>
        <v>-933334869.8112962</v>
      </c>
    </row>
    <row r="12" spans="1:6" x14ac:dyDescent="0.25">
      <c r="A12" t="s">
        <v>48</v>
      </c>
      <c r="B12" s="18">
        <f>-(B6-Assumptions!B29)*Assumptions!B11</f>
        <v>48239643.50334417</v>
      </c>
      <c r="C12" s="18">
        <f>-(C6-B6)*Assumptions!B11</f>
        <v>43258176.49091286</v>
      </c>
      <c r="D12" s="18">
        <f>-(D6-C6)*Assumptions!B11</f>
        <v>38791120.69286412</v>
      </c>
      <c r="E12" s="18">
        <f>-(E6-D6)*Assumptions!B11</f>
        <v>34785355.43273431</v>
      </c>
      <c r="F12" s="18">
        <f>-(F6-E6)*Assumptions!B11</f>
        <v>31193245.540963385</v>
      </c>
    </row>
    <row r="13" spans="1:6" x14ac:dyDescent="0.25">
      <c r="A13" s="19" t="s">
        <v>49</v>
      </c>
      <c r="B13" s="20">
        <f>B9+B10+B11+B12</f>
        <v>1937723367.6059685</v>
      </c>
      <c r="C13" s="20">
        <f>C9+C10+C11+C12</f>
        <v>1737624354.9696643</v>
      </c>
      <c r="D13" s="20">
        <f>D9+D10+D11+D12</f>
        <v>1558188567.8109426</v>
      </c>
      <c r="E13" s="20">
        <f>E9+E10+E11+E12</f>
        <v>1397282218.0540311</v>
      </c>
      <c r="F13" s="20">
        <f>F9+F10+F11+F12</f>
        <v>1252991863.258799</v>
      </c>
    </row>
    <row r="14" spans="1:6" x14ac:dyDescent="0.25">
      <c r="A14" t="s">
        <v>50</v>
      </c>
      <c r="B14" s="21">
        <f>1/(1+Assumptions!$B$26)^(1-0.5*Assumptions!$B$32)</f>
        <v>0.9688014225306928</v>
      </c>
      <c r="C14" s="21">
        <f>1/(1+Assumptions!$B$26)^(2-0.5*Assumptions!$B$32)</f>
        <v>0.909293954126459</v>
      </c>
      <c r="D14" s="21">
        <f>1/(1+Assumptions!$B$26)^(3-0.5*Assumptions!$B$32)</f>
        <v>0.85344166078032</v>
      </c>
      <c r="E14" s="21">
        <f>1/(1+Assumptions!$B$26)^(4-0.5*Assumptions!$B$32)</f>
        <v>0.8010200277370089</v>
      </c>
      <c r="F14" s="21">
        <f>1/(1+Assumptions!$B$26)^(5-0.5*Assumptions!$B$32)</f>
        <v>0.7518183307915149</v>
      </c>
    </row>
    <row r="15" spans="1:6" x14ac:dyDescent="0.25">
      <c r="A15" s="19" t="s">
        <v>51</v>
      </c>
      <c r="B15" s="20">
        <f>B13*B14</f>
        <v>1877269155.0076268</v>
      </c>
      <c r="C15" s="20">
        <f>C13*C14</f>
        <v>1580011320.5168037</v>
      </c>
      <c r="D15" s="20">
        <f>D13*D14</f>
        <v>1329823039.1214793</v>
      </c>
      <c r="E15" s="20">
        <f>E13*E14</f>
        <v>1119251041.0620692</v>
      </c>
      <c r="F15" s="20">
        <f>F13*F14</f>
        <v>942022251.1305804</v>
      </c>
    </row>
    <row r="17" spans="1:2" x14ac:dyDescent="0.25">
      <c r="A17" s="22" t="s">
        <v>52</v>
      </c>
      <c r="B17" s="23">
        <f>SUM(B15:F15)</f>
        <v>6848376806.838558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1252991863.258799</v>
      </c>
    </row>
    <row r="5" spans="1:2" x14ac:dyDescent="0.25">
      <c r="A5" t="s">
        <v>56</v>
      </c>
      <c r="B5" s="18">
        <f>IF(Assumptions!$B$33=0,B4,B4-Forecast!F11-Forecast!F10-Forecast!F12)</f>
        <v>1220074619.1288936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0.25652909369307797</v>
      </c>
    </row>
    <row r="7" spans="1:2" x14ac:dyDescent="0.25">
      <c r="A7" t="s">
        <v>58</v>
      </c>
      <c r="B7" s="18">
        <f>-MAX(Forecast!F9,0)*B6</f>
        <v>-312984636.2830624</v>
      </c>
    </row>
    <row r="8" spans="1:2" x14ac:dyDescent="0.25">
      <c r="A8" t="s">
        <v>59</v>
      </c>
      <c r="B8" s="18">
        <f>IF(OR(Assumptions!$B$33=0,Assumptions!B12&lt;=0),B5,MAX(B5+B7,0))</f>
        <v>907089982.8458312</v>
      </c>
    </row>
    <row r="9" spans="1:2" x14ac:dyDescent="0.25">
      <c r="A9" t="s">
        <v>60</v>
      </c>
      <c r="B9" s="18">
        <f>B8*(1+Assumptions!B12)/(Assumptions!B26-Assumptions!B12)</f>
        <v>22989231129.69176</v>
      </c>
    </row>
    <row r="10" spans="1:2" x14ac:dyDescent="0.25">
      <c r="A10" t="s">
        <v>61</v>
      </c>
      <c r="B10" s="18">
        <f>B9/(1+Assumptions!B26)^(5-0.5*Assumptions!B32)</f>
        <v>17283725374.105194</v>
      </c>
    </row>
    <row r="11" spans="1:2" x14ac:dyDescent="0.25">
      <c r="A11" t="s">
        <v>62</v>
      </c>
      <c r="B11" s="18">
        <f>Forecast!B17+B10</f>
        <v>24132102180.943752</v>
      </c>
    </row>
    <row r="12" spans="1:2" x14ac:dyDescent="0.25">
      <c r="A12" t="s">
        <v>63</v>
      </c>
      <c r="B12" s="18">
        <f>-Assumptions!B30</f>
        <v>-13836000000</v>
      </c>
    </row>
    <row r="13" spans="1:2" x14ac:dyDescent="0.25">
      <c r="A13" t="s">
        <v>64</v>
      </c>
      <c r="B13" s="18">
        <f>B11+B12</f>
        <v>10296102180.943752</v>
      </c>
    </row>
    <row r="14" spans="1:2" x14ac:dyDescent="0.25">
      <c r="A14" s="19" t="s">
        <v>65</v>
      </c>
      <c r="B14" s="24">
        <f>B13/Assumptions!B31</f>
        <v>83.89328870571697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2579364285.015998</v>
      </c>
    </row>
    <row r="18" spans="1:2" x14ac:dyDescent="0.25">
      <c r="A18" t="s">
        <v>60</v>
      </c>
      <c r="B18" s="18">
        <f>B17*Assumptions!B13</f>
        <v>29763460047.211792</v>
      </c>
    </row>
    <row r="19" spans="1:2" x14ac:dyDescent="0.25">
      <c r="A19" t="s">
        <v>61</v>
      </c>
      <c r="B19" s="18">
        <f>B18/(1+Assumptions!B26)^(5-0.5*Assumptions!B32)</f>
        <v>22376714851.274715</v>
      </c>
    </row>
    <row r="20" spans="1:2" x14ac:dyDescent="0.25">
      <c r="A20" t="s">
        <v>62</v>
      </c>
      <c r="B20" s="18">
        <f>Forecast!B17+B19</f>
        <v>29225091658.113274</v>
      </c>
    </row>
    <row r="21" spans="1:2" x14ac:dyDescent="0.25">
      <c r="A21" t="s">
        <v>63</v>
      </c>
      <c r="B21" s="18">
        <f>-Assumptions!B30</f>
        <v>-13836000000</v>
      </c>
    </row>
    <row r="22" spans="1:2" x14ac:dyDescent="0.25">
      <c r="A22" t="s">
        <v>64</v>
      </c>
      <c r="B22" s="18">
        <f>B20+B21</f>
        <v>15389091658.113274</v>
      </c>
    </row>
    <row r="23" spans="1:2" x14ac:dyDescent="0.25">
      <c r="A23" s="19" t="s">
        <v>65</v>
      </c>
      <c r="B23" s="25">
        <f>B22/Assumptions!B31</f>
        <v>125.391287567282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83.89328870571697</v>
      </c>
    </row>
    <row r="29" spans="1:2" x14ac:dyDescent="0.25">
      <c r="A29" s="19" t="s">
        <v>73</v>
      </c>
      <c r="B29" s="12">
        <f>B28/B26-1</f>
        <v>-0.6399429669282534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0.045444</v>
      </c>
      <c r="B5" s="31">
        <v>175.0115009334154</v>
      </c>
      <c r="C5" s="31">
        <v>204.74217032428245</v>
      </c>
      <c r="D5" s="31">
        <v>248.81106888851733</v>
      </c>
      <c r="E5" s="31">
        <v>321.1442156367729</v>
      </c>
      <c r="F5" s="31">
        <v>462.33560930136497</v>
      </c>
    </row>
    <row r="6" spans="1:6" x14ac:dyDescent="0.25">
      <c r="A6" s="30">
        <v>0.055444</v>
      </c>
      <c r="B6" s="31">
        <v>109.7969746775372</v>
      </c>
      <c r="C6" s="31">
        <v>122.57215536229867</v>
      </c>
      <c r="D6" s="31">
        <v>139.41220882514304</v>
      </c>
      <c r="E6" s="31">
        <v>162.71349930405353</v>
      </c>
      <c r="F6" s="31">
        <v>197.21671136374292</v>
      </c>
    </row>
    <row r="7" spans="1:6" x14ac:dyDescent="0.25">
      <c r="A7" s="30">
        <v>0.065444</v>
      </c>
      <c r="B7" s="31">
        <v>70.30393372175925</v>
      </c>
      <c r="C7" s="31">
        <v>76.39246489923104</v>
      </c>
      <c r="D7" s="32">
        <v>83.89160620968755</v>
      </c>
      <c r="E7" s="31">
        <v>93.398331809397</v>
      </c>
      <c r="F7" s="31">
        <v>105.90179438324944</v>
      </c>
    </row>
    <row r="8" spans="1:6" x14ac:dyDescent="0.25">
      <c r="A8" s="30">
        <v>0.075444</v>
      </c>
      <c r="B8" s="31">
        <v>43.77167443867692</v>
      </c>
      <c r="C8" s="31">
        <v>46.736388959840326</v>
      </c>
      <c r="D8" s="31">
        <v>50.21593994468053</v>
      </c>
      <c r="E8" s="31">
        <v>54.38026285123737</v>
      </c>
      <c r="F8" s="31">
        <v>59.48332807872314</v>
      </c>
    </row>
    <row r="9" spans="1:6" x14ac:dyDescent="0.25">
      <c r="A9" s="30">
        <v>0.085444</v>
      </c>
      <c r="B9" s="31">
        <v>24.68507123948842</v>
      </c>
      <c r="C9" s="31">
        <v>26.035079853350968</v>
      </c>
      <c r="D9" s="31">
        <v>27.55008981886848</v>
      </c>
      <c r="E9" s="31">
        <v>29.274741138111995</v>
      </c>
      <c r="F9" s="31">
        <v>31.2713726483245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14675000000</v>
      </c>
      <c r="C5" s="18">
        <v>16874000000</v>
      </c>
      <c r="D5" s="18">
        <v>19566000000</v>
      </c>
      <c r="E5" s="18">
        <v>20351000000</v>
      </c>
      <c r="F5" s="8" t="s">
        <v>84</v>
      </c>
    </row>
    <row r="6" spans="1:6" x14ac:dyDescent="0.25">
      <c r="A6" t="s">
        <v>44</v>
      </c>
      <c r="B6" s="18">
        <v>1631000000</v>
      </c>
      <c r="C6" s="18">
        <v>2440000000</v>
      </c>
      <c r="D6" s="18">
        <v>4746000000</v>
      </c>
      <c r="E6" s="18">
        <v>5589000000</v>
      </c>
      <c r="F6" s="8" t="s">
        <v>85</v>
      </c>
    </row>
    <row r="7" spans="1:6" x14ac:dyDescent="0.25">
      <c r="A7" t="s">
        <v>86</v>
      </c>
      <c r="B7" s="18">
        <v>2044000000</v>
      </c>
      <c r="C7" s="18">
        <v>2113000000</v>
      </c>
      <c r="D7" s="18">
        <v>1823000000</v>
      </c>
      <c r="E7" s="18">
        <v>1666000000</v>
      </c>
      <c r="F7" s="8" t="s">
        <v>87</v>
      </c>
    </row>
    <row r="8" spans="1:6" x14ac:dyDescent="0.25">
      <c r="A8" t="s">
        <v>88</v>
      </c>
      <c r="B8" s="18">
        <v>830000000</v>
      </c>
      <c r="C8" s="18">
        <v>3309000000</v>
      </c>
      <c r="D8" s="18">
        <v>2611000000</v>
      </c>
      <c r="E8" s="18">
        <v>1071000000</v>
      </c>
      <c r="F8" s="8" t="s">
        <v>89</v>
      </c>
    </row>
    <row r="9" spans="1:6" x14ac:dyDescent="0.25">
      <c r="A9" t="s">
        <v>90</v>
      </c>
      <c r="B9" s="18">
        <v>-70000000</v>
      </c>
      <c r="C9" s="18">
        <v>-668000000</v>
      </c>
      <c r="D9" s="18">
        <v>396000000</v>
      </c>
      <c r="E9" s="18">
        <v>902000000</v>
      </c>
      <c r="F9" s="8" t="s">
        <v>91</v>
      </c>
    </row>
    <row r="10" spans="1:6" x14ac:dyDescent="0.25">
      <c r="A10" t="s">
        <v>92</v>
      </c>
      <c r="B10" s="18">
        <v>18149000000</v>
      </c>
      <c r="C10" s="18">
        <v>20142000000</v>
      </c>
      <c r="D10" s="18">
        <v>17109000000</v>
      </c>
      <c r="E10" s="18">
        <v>11192000000</v>
      </c>
      <c r="F10" s="8" t="s">
        <v>93</v>
      </c>
    </row>
    <row r="11" spans="1:6" x14ac:dyDescent="0.25">
      <c r="A11" t="s">
        <v>94</v>
      </c>
      <c r="B11" s="18">
        <v>4313000000</v>
      </c>
      <c r="C11" s="18">
        <v>3518000000</v>
      </c>
      <c r="D11" s="18">
        <v>3922000000</v>
      </c>
      <c r="E11" s="18">
        <v>4336000000</v>
      </c>
      <c r="F11" s="8" t="s">
        <v>95</v>
      </c>
    </row>
    <row r="12" spans="1:6" x14ac:dyDescent="0.25">
      <c r="A12" t="s">
        <v>32</v>
      </c>
      <c r="B12" s="34">
        <v>122728556</v>
      </c>
      <c r="C12" s="34">
        <v>122669341</v>
      </c>
      <c r="D12" s="34">
        <v>122404596</v>
      </c>
      <c r="E12" s="34">
        <v>123294645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