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<sst xmlns="http://schemas.openxmlformats.org/spreadsheetml/2006/main" count="112" uniqueCount="100">
  <si>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KeyCorp (KEY)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</si>
  <si>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</si>
  <si>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</si>
  <si>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</si>
  <si>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</si>
  <si>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</si>
  <si>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</si>
  <si>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</si>
  <si>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</si>
  <si>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</si>
  <si>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</si>
  <si>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</si>
  <si>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</si>
  <si>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</si>
  <si>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</si>
  <si>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</si>
  <si>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</si>
  <si>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</si>
  <si>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</si>
  <si>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</si>
  <si>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</si>
  <si>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</si>
  <si>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29.7%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</si>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</sst>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0.012139724073507496</v>
      </c>
    </row>
    <row r="7" spans="1:2" x14ac:dyDescent="0.25">
      <c r="A7" t="s">
        <v>5</v>
      </c>
      <c r="B7" s="6">
        <v>0.19133878887090378</v>
      </c>
    </row>
    <row r="8" spans="1:2" x14ac:dyDescent="0.25">
      <c r="A8" t="s">
        <v>6</v>
      </c>
      <c r="B8" s="6">
        <v>0.1808829832833262</v>
      </c>
    </row>
    <row r="9" spans="1:2" x14ac:dyDescent="0.25">
      <c r="A9" t="s">
        <v>7</v>
      </c>
      <c r="B9" s="6">
        <v>0.016902318779235974</v>
      </c>
    </row>
    <row r="10" spans="1:2" x14ac:dyDescent="0.25">
      <c r="A10" t="s">
        <v>8</v>
      </c>
      <c r="B10" s="6">
        <v>0.01692332740200367</v>
      </c>
    </row>
    <row r="11" spans="1:2" x14ac:dyDescent="0.25">
      <c r="A11" t="s">
        <v>9</v>
      </c>
      <c r="B11" s="6">
        <v>0.09691934925579786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13.723847432258065</v>
      </c>
    </row>
    <row r="14" spans="1:3" x14ac:dyDescent="0.25">
      <c r="A14" t="s">
        <v>12</v>
      </c>
      <c r="B14" s="6">
        <v>0.08977145834260786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1.01541</v>
      </c>
      <c r="C19" s="8" t="s">
        <v>19</v>
      </c>
    </row>
    <row r="20" spans="1:2" x14ac:dyDescent="0.25">
      <c r="A20" t="s">
        <v>20</v>
      </c>
      <c r="B20" s="10">
        <f>B17+B19*B18</f>
        <v>0.10582754999999999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22206945280</v>
      </c>
    </row>
    <row r="23" spans="1:2" x14ac:dyDescent="0.25">
      <c r="A23" t="s">
        <v>24</v>
      </c>
      <c r="B23" s="11">
        <v>10988000000</v>
      </c>
    </row>
    <row r="24" spans="1:2" x14ac:dyDescent="0.25">
      <c r="A24" t="s">
        <v>25</v>
      </c>
      <c r="B24" s="10">
        <f>B22/(B22+B23)</f>
        <v>0.6689857474589577</v>
      </c>
    </row>
    <row r="25" spans="1:2" x14ac:dyDescent="0.25">
      <c r="A25" t="s">
        <v>26</v>
      </c>
      <c r="B25" s="10">
        <f>1-B24</f>
        <v>0.33101425254104233</v>
      </c>
    </row>
    <row r="26" spans="1:2" x14ac:dyDescent="0.25">
      <c r="A26" t="s">
        <v>27</v>
      </c>
      <c r="B26" s="12">
        <f>B24*B20+B25*B21*(1-B8)</f>
        <v>0.08977145834260786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7285000000</v>
      </c>
      <c r="C29" s="8" t="s">
        <v>30</v>
      </c>
    </row>
    <row r="30" spans="1:2" x14ac:dyDescent="0.25">
      <c r="A30" t="s">
        <v>31</v>
      </c>
      <c r="B30" s="11">
        <v>9701000000</v>
      </c>
    </row>
    <row r="31" spans="1:2" x14ac:dyDescent="0.25">
      <c r="A31" t="s">
        <v>32</v>
      </c>
      <c r="B31" s="13">
        <v>1107994000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0.012139724073507496</v>
      </c>
      <c r="C5" s="10">
        <f>Assumptions!B6</f>
        <v>0.012139724073507496</v>
      </c>
      <c r="D5" s="10">
        <f>Assumptions!B6</f>
        <v>0.012139724073507496</v>
      </c>
      <c r="E5" s="10">
        <f>Assumptions!B6</f>
        <v>0.012139724073507496</v>
      </c>
      <c r="F5" s="10">
        <f>Assumptions!B6</f>
        <v>0.012139724073507496</v>
      </c>
    </row>
    <row r="6" spans="1:6" x14ac:dyDescent="0.25">
      <c r="A6" t="s">
        <v>43</v>
      </c>
      <c r="B6" s="18">
        <f>Assumptions!B29*(1+B5)</f>
        <v>7373437889.875503</v>
      </c>
      <c r="C6" s="18">
        <f>B6*(1+C5)</f>
        <v>7462949391.331737</v>
      </c>
      <c r="D6" s="18">
        <f>C6*(1+D5)</f>
        <v>7553547537.717054</v>
      </c>
      <c r="E6" s="18">
        <f>D6*(1+E5)</f>
        <v>7645245520.601062</v>
      </c>
      <c r="F6" s="18">
        <f>E6*(1+F5)</f>
        <v>7738056691.695378</v>
      </c>
    </row>
    <row r="7" spans="1:6" x14ac:dyDescent="0.25">
      <c r="A7" t="s">
        <v>5</v>
      </c>
      <c r="B7" s="10">
        <f>Assumptions!B7</f>
        <v>0.19133878887090378</v>
      </c>
      <c r="C7" s="10">
        <f>Assumptions!B7</f>
        <v>0.19133878887090378</v>
      </c>
      <c r="D7" s="10">
        <f>Assumptions!B7</f>
        <v>0.19133878887090378</v>
      </c>
      <c r="E7" s="10">
        <f>Assumptions!B7</f>
        <v>0.19133878887090378</v>
      </c>
      <c r="F7" s="10">
        <f>Assumptions!B7</f>
        <v>0.19133878887090378</v>
      </c>
    </row>
    <row r="8" spans="1:6" x14ac:dyDescent="0.25">
      <c r="A8" t="s">
        <v>44</v>
      </c>
      <c r="B8" s="18">
        <f>B6*B7</f>
        <v>1410824675.663611</v>
      </c>
      <c r="C8" s="18">
        <f>C6*C7</f>
        <v>1427951697.942263</v>
      </c>
      <c r="D8" s="18">
        <f>D6*D7</f>
        <v>1445286637.5455785</v>
      </c>
      <c r="E8" s="18">
        <f>E6*E7</f>
        <v>1462832018.5325093</v>
      </c>
      <c r="F8" s="18">
        <f>F6*F7</f>
        <v>1480590395.6033862</v>
      </c>
    </row>
    <row r="9" spans="1:6" x14ac:dyDescent="0.25">
      <c r="A9" t="s">
        <v>45</v>
      </c>
      <c r="B9" s="18">
        <f>B8*(1-Assumptions!B8)</f>
        <v>1155630499.4398458</v>
      </c>
      <c r="C9" s="18">
        <f>C8*(1-Assumptions!B8)</f>
        <v>1169659534.8339753</v>
      </c>
      <c r="D9" s="18">
        <f>D8*(1-Assumptions!B8)</f>
        <v>1183858878.846807</v>
      </c>
      <c r="E9" s="18">
        <f>E8*(1-Assumptions!B8)</f>
        <v>1198230598.9779792</v>
      </c>
      <c r="F9" s="18">
        <f>F8*(1-Assumptions!B8)</f>
        <v>1212776787.8260055</v>
      </c>
    </row>
    <row r="10" spans="1:6" x14ac:dyDescent="0.25">
      <c r="A10" t="s">
        <v>46</v>
      </c>
      <c r="B10" s="18">
        <f>B6*Assumptions!B9</f>
        <v>124628197.71357279</v>
      </c>
      <c r="C10" s="18">
        <f>C6*Assumptions!B9</f>
        <v>126141149.64559409</v>
      </c>
      <c r="D10" s="18">
        <f>D6*Assumptions!B9</f>
        <v>127672468.39660662</v>
      </c>
      <c r="E10" s="18">
        <f>E6*Assumptions!B9</f>
        <v>129222376.93472503</v>
      </c>
      <c r="F10" s="18">
        <f>F6*Assumptions!B9</f>
        <v>130791100.93483539</v>
      </c>
    </row>
    <row r="11" spans="1:6" x14ac:dyDescent="0.25">
      <c r="A11" t="s">
        <v>47</v>
      </c>
      <c r="B11" s="18">
        <f>-B6*Assumptions!B10</f>
        <v>-124783103.4887022</v>
      </c>
      <c r="C11" s="18">
        <f>-C6*Assumptions!B10</f>
        <v>-126297935.93409097</v>
      </c>
      <c r="D11" s="18">
        <f>-D6*Assumptions!B10</f>
        <v>-127831158.02738437</v>
      </c>
      <c r="E11" s="18">
        <f>-E6*Assumptions!B10</f>
        <v>-129382993.01383375</v>
      </c>
      <c r="F11" s="18">
        <f>-F6*Assumptions!B10</f>
        <v>-130953666.84882624</v>
      </c>
    </row>
    <row r="12" spans="1:6" x14ac:dyDescent="0.25">
      <c r="A12" t="s">
        <v>48</v>
      </c>
      <c r="B12" s="18">
        <f>-(B6-Assumptions!B29)*Assumptions!B11</f>
        <v>-8571342.736289624</v>
      </c>
      <c r="C12" s="18">
        <f>-(C6-B6)*Assumptions!B11</f>
        <v>-8675396.472047599</v>
      </c>
      <c r="D12" s="18">
        <f>-(D6-C6)*Assumptions!B11</f>
        <v>-8780713.391446516</v>
      </c>
      <c r="E12" s="18">
        <f>-(E6-D6)*Assumptions!B11</f>
        <v>-8887308.829187293</v>
      </c>
      <c r="F12" s="18">
        <f>-(F6-E6)*Assumptions!B11</f>
        <v>-8995198.30612967</v>
      </c>
    </row>
    <row r="13" spans="1:6" x14ac:dyDescent="0.25">
      <c r="A13" s="19" t="s">
        <v>49</v>
      </c>
      <c r="B13" s="20">
        <f>B9+B10+B11+B12</f>
        <v>1146904250.9284265</v>
      </c>
      <c r="C13" s="20">
        <f>C9+C10+C11+C12</f>
        <v>1160827352.0734308</v>
      </c>
      <c r="D13" s="20">
        <f>D9+D10+D11+D12</f>
        <v>1174919475.8245828</v>
      </c>
      <c r="E13" s="20">
        <f>E9+E10+E11+E12</f>
        <v>1189182674.069683</v>
      </c>
      <c r="F13" s="20">
        <f>F9+F10+F11+F12</f>
        <v>1203619023.605885</v>
      </c>
    </row>
    <row r="14" spans="1:6" x14ac:dyDescent="0.25">
      <c r="A14" t="s">
        <v>50</v>
      </c>
      <c r="B14" s="21">
        <f>1/(1+Assumptions!$B$26)^(1-0.5*Assumptions!$B$32)</f>
        <v>0.9579267153294151</v>
      </c>
      <c r="C14" s="21">
        <f>1/(1+Assumptions!$B$26)^(2-0.5*Assumptions!$B$32)</f>
        <v>0.8790161533375901</v>
      </c>
      <c r="D14" s="21">
        <f>1/(1+Assumptions!$B$26)^(3-0.5*Assumptions!$B$32)</f>
        <v>0.8066059600005056</v>
      </c>
      <c r="E14" s="21">
        <f>1/(1+Assumptions!$B$26)^(4-0.5*Assumptions!$B$32)</f>
        <v>0.7401606582973295</v>
      </c>
      <c r="F14" s="21">
        <f>1/(1+Assumptions!$B$26)^(5-0.5*Assumptions!$B$32)</f>
        <v>0.6791888818808045</v>
      </c>
    </row>
    <row r="15" spans="1:6" x14ac:dyDescent="0.25">
      <c r="A15" s="19" t="s">
        <v>51</v>
      </c>
      <c r="B15" s="20">
        <f>B13*B14</f>
        <v>1098650221.889211</v>
      </c>
      <c r="C15" s="20">
        <f>C13*C14</f>
        <v>1020385993.7086475</v>
      </c>
      <c r="D15" s="20">
        <f>D13*D14</f>
        <v>947697051.7207783</v>
      </c>
      <c r="E15" s="20">
        <f>E13*E14</f>
        <v>880186230.8751953</v>
      </c>
      <c r="F15" s="20">
        <f>F13*F14</f>
        <v>817484658.8533467</v>
      </c>
    </row>
    <row r="17" spans="1:2" x14ac:dyDescent="0.25">
      <c r="A17" s="22" t="s">
        <v>52</v>
      </c>
      <c r="B17" s="23">
        <f>SUM(B15:F15)</f>
        <v>4764404157.047179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1203619023.605885</v>
      </c>
    </row>
    <row r="5" spans="1:2" x14ac:dyDescent="0.25">
      <c r="A5" t="s">
        <v>56</v>
      </c>
      <c r="B5" s="18">
        <f>IF(Assumptions!$B$33=0,B4,B4-Forecast!F11-Forecast!F10-Forecast!F12)</f>
        <v>1212776787.8260055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0.27848494902008686</v>
      </c>
    </row>
    <row r="7" spans="1:2" x14ac:dyDescent="0.25">
      <c r="A7" t="s">
        <v>58</v>
      </c>
      <c r="B7" s="18">
        <f>-MAX(Forecast!F9,0)*B6</f>
        <v>-337740081.9304698</v>
      </c>
    </row>
    <row r="8" spans="1:2" x14ac:dyDescent="0.25">
      <c r="A8" t="s">
        <v>59</v>
      </c>
      <c r="B8" s="18">
        <f>IF(OR(Assumptions!$B$33=0,Assumptions!B12&lt;=0),B5,MAX(B5+B7,0))</f>
        <v>875036705.8955357</v>
      </c>
    </row>
    <row r="9" spans="1:2" x14ac:dyDescent="0.25">
      <c r="A9" t="s">
        <v>60</v>
      </c>
      <c r="B9" s="18">
        <f>B8*(1+Assumptions!B12)/(Assumptions!B26-Assumptions!B12)</f>
        <v>13847343359.149261</v>
      </c>
    </row>
    <row r="10" spans="1:2" x14ac:dyDescent="0.25">
      <c r="A10" t="s">
        <v>61</v>
      </c>
      <c r="B10" s="18">
        <f>B9/(1+Assumptions!B26)^(5-0.5*Assumptions!B32)</f>
        <v>9404961653.12017</v>
      </c>
    </row>
    <row r="11" spans="1:2" x14ac:dyDescent="0.25">
      <c r="A11" t="s">
        <v>62</v>
      </c>
      <c r="B11" s="18">
        <f>Forecast!B17+B10</f>
        <v>14169365810.16735</v>
      </c>
    </row>
    <row r="12" spans="1:2" x14ac:dyDescent="0.25">
      <c r="A12" t="s">
        <v>63</v>
      </c>
      <c r="B12" s="18">
        <f>-Assumptions!B30</f>
        <v>-9701000000</v>
      </c>
    </row>
    <row r="13" spans="1:2" x14ac:dyDescent="0.25">
      <c r="A13" t="s">
        <v>64</v>
      </c>
      <c r="B13" s="18">
        <f>B11+B12</f>
        <v>4468365810.167351</v>
      </c>
    </row>
    <row r="14" spans="1:2" x14ac:dyDescent="0.25">
      <c r="A14" s="19" t="s">
        <v>65</v>
      </c>
      <c r="B14" s="24">
        <f>B13/Assumptions!B31</f>
        <v>4.032842966809704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1611381496.5382216</v>
      </c>
    </row>
    <row r="18" spans="1:2" x14ac:dyDescent="0.25">
      <c r="A18" t="s">
        <v>60</v>
      </c>
      <c r="B18" s="18">
        <f>B17*Assumptions!B13</f>
        <v>22114353813.654232</v>
      </c>
    </row>
    <row r="19" spans="1:2" x14ac:dyDescent="0.25">
      <c r="A19" t="s">
        <v>61</v>
      </c>
      <c r="B19" s="18">
        <f>B18/(1+Assumptions!B26)^(5-0.5*Assumptions!B32)</f>
        <v>15019823240.212322</v>
      </c>
    </row>
    <row r="20" spans="1:2" x14ac:dyDescent="0.25">
      <c r="A20" t="s">
        <v>62</v>
      </c>
      <c r="B20" s="18">
        <f>Forecast!B17+B19</f>
        <v>19784227397.259502</v>
      </c>
    </row>
    <row r="21" spans="1:2" x14ac:dyDescent="0.25">
      <c r="A21" t="s">
        <v>63</v>
      </c>
      <c r="B21" s="18">
        <f>-Assumptions!B30</f>
        <v>-9701000000</v>
      </c>
    </row>
    <row r="22" spans="1:2" x14ac:dyDescent="0.25">
      <c r="A22" t="s">
        <v>64</v>
      </c>
      <c r="B22" s="18">
        <f>B20+B21</f>
        <v>10083227397.259502</v>
      </c>
    </row>
    <row r="23" spans="1:2" x14ac:dyDescent="0.25">
      <c r="A23" s="19" t="s">
        <v>65</v>
      </c>
      <c r="B23" s="25">
        <f>B22/Assumptions!B31</f>
        <v>9.100435017932861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4.032842966809704</v>
      </c>
    </row>
    <row r="29" spans="1:2" x14ac:dyDescent="0.25">
      <c r="A29" s="19" t="s">
        <v>73</v>
      </c>
      <c r="B29" s="12">
        <f>B28/B26-1</f>
        <v>-0.8062064888606582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0.069771</v>
      </c>
      <c r="B5" s="31">
        <v>7.4927098930596</v>
      </c>
      <c r="C5" s="31">
        <v>7.550616728470276</v>
      </c>
      <c r="D5" s="31">
        <v>7.608523563880951</v>
      </c>
      <c r="E5" s="31">
        <v>7.666430399291626</v>
      </c>
      <c r="F5" s="31">
        <v>7.724337234702294</v>
      </c>
    </row>
    <row r="6" spans="1:6" x14ac:dyDescent="0.25">
      <c r="A6" s="30">
        <v>0.079771</v>
      </c>
      <c r="B6" s="31">
        <v>5.49910248759374</v>
      </c>
      <c r="C6" s="31">
        <v>5.547673367260265</v>
      </c>
      <c r="D6" s="31">
        <v>5.596244246926787</v>
      </c>
      <c r="E6" s="31">
        <v>5.644815126593312</v>
      </c>
      <c r="F6" s="31">
        <v>5.693386006259833</v>
      </c>
    </row>
    <row r="7" spans="1:6" x14ac:dyDescent="0.25">
      <c r="A7" s="30">
        <v>0.089771</v>
      </c>
      <c r="B7" s="31">
        <v>3.950093572525098</v>
      </c>
      <c r="C7" s="31">
        <v>3.9915000989062985</v>
      </c>
      <c r="D7" s="32">
        <v>4.032906625287496</v>
      </c>
      <c r="E7" s="31">
        <v>4.074313151668695</v>
      </c>
      <c r="F7" s="31">
        <v>4.115719678049892</v>
      </c>
    </row>
    <row r="8" spans="1:6" x14ac:dyDescent="0.25">
      <c r="A8" s="30">
        <v>0.099771</v>
      </c>
      <c r="B8" s="31">
        <v>2.711967744304131</v>
      </c>
      <c r="C8" s="31">
        <v>2.74772374695372</v>
      </c>
      <c r="D8" s="31">
        <v>2.7834797496033055</v>
      </c>
      <c r="E8" s="31">
        <v>2.819235752252893</v>
      </c>
      <c r="F8" s="31">
        <v>2.85499175490248</v>
      </c>
    </row>
    <row r="9" spans="1:6" x14ac:dyDescent="0.25">
      <c r="A9" s="30">
        <v>0.109771</v>
      </c>
      <c r="B9" s="31">
        <v>1.6997366062785366</v>
      </c>
      <c r="C9" s="31">
        <v>1.7309381209952108</v>
      </c>
      <c r="D9" s="31">
        <v>1.76213963571188</v>
      </c>
      <c r="E9" s="31">
        <v>1.7933411504285524</v>
      </c>
      <c r="F9" s="31">
        <v>1.8245426651452215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7285000000</v>
      </c>
      <c r="C5" s="18">
        <v>4396000000</v>
      </c>
      <c r="D5" s="18">
        <v>6215000000</v>
      </c>
      <c r="E5" s="18">
        <v>7026000000</v>
      </c>
      <c r="F5" s="8" t="s">
        <v>84</v>
      </c>
    </row>
    <row r="6" spans="1:6" x14ac:dyDescent="0.25">
      <c r="A6" t="s">
        <v>44</v>
      </c>
      <c r="B6" s="18">
        <v>2304000000</v>
      </c>
      <c r="C6" s="18">
        <v>-306000000</v>
      </c>
      <c r="D6" s="18">
        <v>1160000000</v>
      </c>
      <c r="E6" s="18">
        <v>2333000000</v>
      </c>
      <c r="F6" s="8" t="s">
        <v>85</v>
      </c>
    </row>
    <row r="7" spans="1:6" x14ac:dyDescent="0.25">
      <c r="A7" t="s">
        <v>86</v>
      </c>
      <c r="B7" s="18">
        <v>21000000</v>
      </c>
      <c r="C7" s="18">
        <v>73000000</v>
      </c>
      <c r="D7" s="18">
        <v>154000000</v>
      </c>
      <c r="E7" s="18">
        <v>164000000</v>
      </c>
      <c r="F7" s="8" t="s">
        <v>87</v>
      </c>
    </row>
    <row r="8" spans="1:6" x14ac:dyDescent="0.25">
      <c r="A8" t="s">
        <v>88</v>
      </c>
      <c r="B8" s="18">
        <v>107000000</v>
      </c>
      <c r="C8" s="18">
        <v>65000000</v>
      </c>
      <c r="D8" s="18">
        <v>142000000</v>
      </c>
      <c r="E8" s="18">
        <v>108000000</v>
      </c>
      <c r="F8" s="8" t="s">
        <v>89</v>
      </c>
    </row>
    <row r="9" spans="1:6" x14ac:dyDescent="0.25">
      <c r="A9" t="s">
        <v>90</v>
      </c>
      <c r="B9" s="18">
        <v>280000000</v>
      </c>
      <c r="C9" s="18">
        <v>483000000</v>
      </c>
      <c r="D9" s="18">
        <v>-691000000</v>
      </c>
      <c r="E9" s="18">
        <v>-237000000</v>
      </c>
      <c r="F9" s="8" t="s">
        <v>91</v>
      </c>
    </row>
    <row r="10" spans="1:6" x14ac:dyDescent="0.25">
      <c r="A10" t="s">
        <v>92</v>
      </c>
      <c r="B10" s="18">
        <v>10988000000</v>
      </c>
      <c r="C10" s="18">
        <v>14235000000</v>
      </c>
      <c r="D10" s="18">
        <v>22607000000</v>
      </c>
      <c r="E10" s="18">
        <v>24693000000</v>
      </c>
      <c r="F10" s="8" t="s">
        <v>93</v>
      </c>
    </row>
    <row r="11" spans="1:6" x14ac:dyDescent="0.25">
      <c r="A11" t="s">
        <v>94</v>
      </c>
      <c r="B11" s="18">
        <v>1287000000</v>
      </c>
      <c r="C11" s="18">
        <v>1743000000</v>
      </c>
      <c r="D11" s="18">
        <v>941000000</v>
      </c>
      <c r="E11" s="18">
        <v>887000000</v>
      </c>
      <c r="F11" s="8" t="s">
        <v>95</v>
      </c>
    </row>
    <row r="12" spans="1:6" x14ac:dyDescent="0.25">
      <c r="A12" t="s">
        <v>32</v>
      </c>
      <c r="B12" s="34">
        <v>1107994000</v>
      </c>
      <c r="C12" s="34">
        <v>949561000</v>
      </c>
      <c r="D12" s="34">
        <v>932759000</v>
      </c>
      <c r="E12" s="34">
        <v>933059000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