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<sst xmlns="http://schemas.openxmlformats.org/spreadsheetml/2006/main" count="70" uniqueCount="67">
  <si>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KeyCorp (KEY)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</si>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</sst>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1.05829</v>
      </c>
    </row>
    <row r="9" spans="1:2" x14ac:dyDescent="0.25">
      <c r="A9" t="s">
        <v>8</v>
      </c>
      <c r="B9" s="8">
        <f>B6+B8*B7</f>
        <v>0.09370566699999999</v>
      </c>
    </row>
    <row r="10" spans="1:2" x14ac:dyDescent="0.25">
      <c r="A10" t="s">
        <v>9</v>
      </c>
      <c r="B10" s="8">
        <f>MEDIAN('Source data'!B9:E9)</f>
        <v>0.07522366258900857</v>
      </c>
    </row>
    <row r="11" spans="1:2" x14ac:dyDescent="0.25">
      <c r="A11" t="s">
        <v>10</v>
      </c>
      <c r="B11" s="8">
        <f>IFERROR(MIN(MAX(MEDIAN('Source data'!B10:E10),0),1),0)</f>
        <v>0.8653654021121975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17881000000</v>
      </c>
    </row>
    <row r="15" spans="1:2" x14ac:dyDescent="0.25">
      <c r="A15" t="s">
        <v>14</v>
      </c>
      <c r="B15" s="10">
        <f>'Source data'!B8</f>
        <v>1107994000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0.010127707564318904</v>
      </c>
    </row>
    <row r="18" spans="1:2" x14ac:dyDescent="0.25">
      <c r="A18" t="s">
        <v>17</v>
      </c>
      <c r="B18" s="8">
        <f>MIN(B10,B12)</f>
        <v>0.07522366258900857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0.07522366258900857</v>
      </c>
      <c r="C22" s="8">
        <f>$B$10+($B$18-$B$10)*C21/$B$16</f>
        <v>0.07522366258900857</v>
      </c>
      <c r="D22" s="8">
        <f>$B$10+($B$18-$B$10)*D21/$B$16</f>
        <v>0.07522366258900857</v>
      </c>
      <c r="E22" s="8">
        <f>$B$10+($B$18-$B$10)*E21/$B$16</f>
        <v>0.07522366258900857</v>
      </c>
      <c r="F22" s="8">
        <f>$B$10+($B$18-$B$10)*F21/$B$16</f>
        <v>0.07522366258900857</v>
      </c>
      <c r="G22" s="8">
        <f>$B$10+($B$18-$B$10)*G21/$B$16</f>
        <v>0.07522366258900857</v>
      </c>
      <c r="H22" s="8">
        <f>$B$10+($B$18-$B$10)*H21/$B$16</f>
        <v>0.07522366258900857</v>
      </c>
      <c r="I22" s="8">
        <f>$B$10+($B$18-$B$10)*I21/$B$16</f>
        <v>0.07522366258900857</v>
      </c>
      <c r="J22" s="8">
        <f>$B$10+($B$18-$B$10)*J21/$B$16</f>
        <v>0.07522366258900857</v>
      </c>
      <c r="K22" s="8">
        <f>$B$10+($B$18-$B$10)*K21/$B$16</f>
        <v>0.07522366258900857</v>
      </c>
    </row>
    <row r="23" spans="1:11" x14ac:dyDescent="0.25">
      <c r="A23" t="s">
        <v>31</v>
      </c>
      <c r="B23" s="8">
        <f>$B$17+($B$13-$B$17)*B21/$B$16</f>
        <v>0.011614936807887014</v>
      </c>
      <c r="C23" s="8">
        <f>$B$17+($B$13-$B$17)*C21/$B$16</f>
        <v>0.013102166051455123</v>
      </c>
      <c r="D23" s="8">
        <f>$B$17+($B$13-$B$17)*D21/$B$16</f>
        <v>0.014589395295023233</v>
      </c>
      <c r="E23" s="8">
        <f>$B$17+($B$13-$B$17)*E21/$B$16</f>
        <v>0.016076624538591343</v>
      </c>
      <c r="F23" s="8">
        <f>$B$17+($B$13-$B$17)*F21/$B$16</f>
        <v>0.017563853782159453</v>
      </c>
      <c r="G23" s="8">
        <f>$B$17+($B$13-$B$17)*G21/$B$16</f>
        <v>0.019051083025727562</v>
      </c>
      <c r="H23" s="8">
        <f>$B$17+($B$13-$B$17)*H21/$B$16</f>
        <v>0.020538312269295672</v>
      </c>
      <c r="I23" s="8">
        <f>$B$17+($B$13-$B$17)*I21/$B$16</f>
        <v>0.022025541512863782</v>
      </c>
      <c r="J23" s="8">
        <f>$B$17+($B$13-$B$17)*J21/$B$16</f>
        <v>0.02351277075643189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17881000000</v>
      </c>
      <c r="C24" s="9">
        <f>B24*(1+B23)</f>
        <v>18088686685.06183</v>
      </c>
      <c r="D24" s="9">
        <f>C24*(1+C23)</f>
        <v>18325687661.662254</v>
      </c>
      <c r="E24" s="9">
        <f>D24*(1+D23)</f>
        <v>18593048363.011375</v>
      </c>
      <c r="F24" s="9">
        <f>E24*(1+E23)</f>
        <v>18891961820.571377</v>
      </c>
      <c r="G24" s="9">
        <f>F24*(1+F23)</f>
        <v>19223777475.64603</v>
      </c>
      <c r="H24" s="9">
        <f>G24*(1+G23)</f>
        <v>19590011256.402676</v>
      </c>
      <c r="I24" s="9">
        <f>H24*(1+H23)</f>
        <v>19992357024.94569</v>
      </c>
      <c r="J24" s="9">
        <f>I24*(1+I23)</f>
        <v>20432699514.538628</v>
      </c>
      <c r="K24" s="9">
        <f>J24*(1+J23)</f>
        <v>20913128894.159035</v>
      </c>
    </row>
    <row r="25" spans="1:11" x14ac:dyDescent="0.25">
      <c r="A25" t="s">
        <v>33</v>
      </c>
      <c r="B25" s="9">
        <f>(B22-$B$9)*B24</f>
        <v>-330476720.87293756</v>
      </c>
      <c r="C25" s="9">
        <f>(C22-$B$9)*C24</f>
        <v>-334315187.10235447</v>
      </c>
      <c r="D25" s="9">
        <f>(D22-$B$9)*D24</f>
        <v>-338695440.1972928</v>
      </c>
      <c r="E25" s="9">
        <f>(E22-$B$9)*E24</f>
        <v>-343636801.858953</v>
      </c>
      <c r="F25" s="9">
        <f>(F22-$B$9)*F24</f>
        <v>-349161321.70008165</v>
      </c>
      <c r="G25" s="9">
        <f>(G22-$B$9)*G24</f>
        <v>-355293940.10080737</v>
      </c>
      <c r="H25" s="9">
        <f>(H22-$B$9)*H24</f>
        <v>-362062674.4522058</v>
      </c>
      <c r="I25" s="9">
        <f>(I22-$B$9)*I24</f>
        <v>-369498830.7211615</v>
      </c>
      <c r="J25" s="9">
        <f>(J22-$B$9)*J24</f>
        <v>-377637242.5561651</v>
      </c>
      <c r="K25" s="9">
        <f>(K22-$B$9)*K24</f>
        <v>-386516540.4694793</v>
      </c>
    </row>
    <row r="26" spans="1:11" x14ac:dyDescent="0.25">
      <c r="A26" t="s">
        <v>34</v>
      </c>
      <c r="B26" s="14">
        <f>1/(1+$B$9)^B21</f>
        <v>0.9143227745568588</v>
      </c>
      <c r="C26" s="14">
        <f>1/(1+$B$9)^C21</f>
        <v>0.8359861360733526</v>
      </c>
      <c r="D26" s="14">
        <f>1/(1+$B$9)^D21</f>
        <v>0.7643611634256555</v>
      </c>
      <c r="E26" s="14">
        <f>1/(1+$B$9)^E21</f>
        <v>0.698872819706854</v>
      </c>
      <c r="F26" s="14">
        <f>1/(1+$B$9)^F21</f>
        <v>0.6389953355767461</v>
      </c>
      <c r="G26" s="14">
        <f>1/(1+$B$9)^G21</f>
        <v>0.5842479881534216</v>
      </c>
      <c r="H26" s="14">
        <f>1/(1+$B$9)^H21</f>
        <v>0.5341912415576993</v>
      </c>
      <c r="I26" s="14">
        <f>1/(1+$B$9)^I21</f>
        <v>0.4884232181250087</v>
      </c>
      <c r="J26" s="14">
        <f>1/(1+$B$9)^J21</f>
        <v>0.4465764719540479</v>
      </c>
      <c r="K26" s="14">
        <f>1/(1+$B$9)^K21</f>
        <v>0.40831503888883836</v>
      </c>
    </row>
    <row r="27" spans="1:11" x14ac:dyDescent="0.25">
      <c r="A27" s="15" t="s">
        <v>35</v>
      </c>
      <c r="B27" s="16">
        <f>B25*B26</f>
        <v>-302162392.35499686</v>
      </c>
      <c r="C27" s="16">
        <f>C25*C26</f>
        <v>-279482861.49633723</v>
      </c>
      <c r="D27" s="16">
        <f>D25*D26</f>
        <v>-258885640.71616724</v>
      </c>
      <c r="E27" s="16">
        <f>E25*E26</f>
        <v>-240158420.67021197</v>
      </c>
      <c r="F27" s="16">
        <f>F25*F26</f>
        <v>-223112455.9301639</v>
      </c>
      <c r="G27" s="16">
        <f>G25*G26</f>
        <v>-207579769.706999</v>
      </c>
      <c r="H27" s="16">
        <f>H25*H26</f>
        <v>-193410709.5873249</v>
      </c>
      <c r="I27" s="16">
        <f>I25*I26</f>
        <v>-180471807.99425754</v>
      </c>
      <c r="J27" s="16">
        <f>J25*J26</f>
        <v>-168643907.45918724</v>
      </c>
      <c r="K27" s="16">
        <f>K25*K26</f>
        <v>-157820516.25297472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17881000000</v>
      </c>
    </row>
    <row r="31" spans="1:2" x14ac:dyDescent="0.25">
      <c r="A31" t="s">
        <v>38</v>
      </c>
      <c r="B31" s="9">
        <f>SUM(B27:K27)</f>
        <v>-2211728482.1686206</v>
      </c>
    </row>
    <row r="32" spans="1:2" x14ac:dyDescent="0.25">
      <c r="A32" t="s">
        <v>39</v>
      </c>
      <c r="B32" s="9">
        <f>K24*(1+K23)</f>
        <v>21435957116.51301</v>
      </c>
    </row>
    <row r="33" spans="1:2" x14ac:dyDescent="0.25">
      <c r="A33" t="s">
        <v>40</v>
      </c>
      <c r="B33" s="9">
        <f>(B18-B9)*B32</f>
        <v>-396179453.9812163</v>
      </c>
    </row>
    <row r="34" spans="1:2" x14ac:dyDescent="0.25">
      <c r="A34" t="s">
        <v>41</v>
      </c>
      <c r="B34" s="9">
        <f>B33/(B9-B13)</f>
        <v>-5766328620.042599</v>
      </c>
    </row>
    <row r="35" spans="1:2" x14ac:dyDescent="0.25">
      <c r="A35" t="s">
        <v>42</v>
      </c>
      <c r="B35" s="9">
        <f>B34*K26</f>
        <v>-2354478694.7385154</v>
      </c>
    </row>
    <row r="36" spans="1:2" x14ac:dyDescent="0.25">
      <c r="A36" s="15" t="s">
        <v>43</v>
      </c>
      <c r="B36" s="16">
        <f>B30+B31+B35</f>
        <v>13314792823.092863</v>
      </c>
    </row>
    <row r="37" spans="1:2" x14ac:dyDescent="0.25">
      <c r="A37" s="15" t="s">
        <v>44</v>
      </c>
      <c r="B37" s="17">
        <f>B36/B15</f>
        <v>12.017026105820847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21.12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12.017026105820847</v>
      </c>
    </row>
    <row r="43" spans="1:2" x14ac:dyDescent="0.25">
      <c r="A43" s="15" t="s">
        <v>48</v>
      </c>
      <c r="B43" s="21">
        <f>B42/B40-1</f>
        <v>-0.43101202150469475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1686000000</v>
      </c>
      <c r="C5" s="9">
        <v>-304000000</v>
      </c>
      <c r="D5" s="9">
        <v>824000000</v>
      </c>
      <c r="E5" s="9">
        <v>1799000000</v>
      </c>
      <c r="F5" s="6" t="s">
        <v>57</v>
      </c>
    </row>
    <row r="6" spans="1:6" x14ac:dyDescent="0.25">
      <c r="A6" t="s">
        <v>37</v>
      </c>
      <c r="B6" s="9">
        <v>17881000000</v>
      </c>
      <c r="C6" s="9">
        <v>15676000000</v>
      </c>
      <c r="D6" s="9">
        <v>12137000000</v>
      </c>
      <c r="E6" s="9">
        <v>10954000000</v>
      </c>
      <c r="F6" s="6" t="s">
        <v>58</v>
      </c>
    </row>
    <row r="7" spans="1:6" x14ac:dyDescent="0.25">
      <c r="A7" t="s">
        <v>59</v>
      </c>
      <c r="B7" s="9">
        <v>1054000000</v>
      </c>
      <c r="C7" s="9">
        <v>927000000</v>
      </c>
      <c r="D7" s="9">
        <v>911000000</v>
      </c>
      <c r="E7" s="9">
        <v>854000000</v>
      </c>
      <c r="F7" s="6" t="s">
        <v>60</v>
      </c>
    </row>
    <row r="8" spans="1:6" x14ac:dyDescent="0.25">
      <c r="A8" t="s">
        <v>14</v>
      </c>
      <c r="B8" s="10">
        <v>1107994000</v>
      </c>
      <c r="C8" s="10">
        <v>949561000</v>
      </c>
      <c r="D8" s="10">
        <v>932759000</v>
      </c>
      <c r="E8" s="10">
        <v>933059000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0.10755294718040316</v>
      </c>
      <c r="C9" s="8">
        <f>IF(AND(ISNUMBER(C5),N(D6)&gt;0),C5/D6,"")</f>
        <v>-0.02504737579302958</v>
      </c>
      <c r="D9" s="8">
        <f>IF(AND(ISNUMBER(D5),N(E6)&gt;0),D5/E6,"")</f>
        <v>0.07522366258900857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0.6251482799525504</v>
      </c>
      <c r="C10" s="8" t="str">
        <f>IF(AND(ISNUMBER(C9),N(C5)&gt;0,ISNUMBER(C7)),C7/C5,"")</f>
        <v/>
      </c>
      <c r="D10" s="8">
        <f>IF(AND(ISNUMBER(D9),N(D5)&gt;0,ISNUMBER(D7)),D7/D5,"")</f>
        <v>1.1055825242718447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