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<sst xmlns="http://schemas.openxmlformats.org/spreadsheetml/2006/main" count="120" uniqueCount="107">
  <si>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Keysight Technologies, Inc. (KEYS)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</si>
  <si>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</si>
  <si>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</si>
  <si>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</si>
  <si>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</si>
  <si>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</si>
  <si>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</si>
  <si>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</si>
  <si>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</si>
  <si>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</si>
  <si>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</si>
  <si>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</si>
  <si>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</si>
  <si>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</si>
  <si>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</si>
  <si>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</si>
  <si>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</si>
  <si>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</si>
  <si>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</si>
  <si>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</si>
  <si>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</si>
  <si>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</si>
  <si>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</si>
  <si>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</si>
  <si>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9.1x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</si>
  <si>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</si>
  <si>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</si>
  <si>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</si>
  <si>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</si>
  <si>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</si>
  <si>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</si>
  <si>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</si>
  <si>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</si>
  <si>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</si>
  <si>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</si>
  <si>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</si>
  <si>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</si>
  <si>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</si>
  <si>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</si>
  <si>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</si>
  <si>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</si>
  <si>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</si>
  <si>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</si>
  <si>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</si>
  <si>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</si>
  <si>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</si>
  <si>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</si>
  <si>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</si>
  <si>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</si>
  <si>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</si>
  <si>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</si>
  <si>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</si>
  <si>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</si>
  <si>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</si>
  <si>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</si>
  <si>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</si>
  <si>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</si>
  <si>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</si>
  <si>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</si>
  <si>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</si>
  <si>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</si>
  <si>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</si>
  <si>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</si>
  <si>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</si>
  <si>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</si>
  <si>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</si>
  <si>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</si>
  <si>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</si>
  <si>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</si>
  <si>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</si>
  <si>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</si>
  <si>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</si>
  <si>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</si>
  <si>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</si>
  <si>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</si>
  <si>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</si>
  <si>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</si>
  <si>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</si>
  <si>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</si>
  <si>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</si>
  <si>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</si>
  <si>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</si>
  <si>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</si>
  <si>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</si>
  <si>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</si>
  <si>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</si>
  <si>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</si>
  <si>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</si>
  <si>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</si>
  <si>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</si>
  <si>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</si>
  <si>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</si>
  <si>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</si>
  <si>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</si>
  <si>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</si>
  <si>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</si>
  <si>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</si>
  <si>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</si>
  <si>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</si>
  <si>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</si>
  <si>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</si>
  <si>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</si>
  <si>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</si>
  <si>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</si>
  <si>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</si>
  <si>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46.2x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</si>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</sst>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0.3237766102325581</v>
      </c>
    </row>
    <row r="7" spans="1:2" x14ac:dyDescent="0.25">
      <c r="A7" t="s">
        <v>4</v>
      </c>
      <c r="B7" s="5">
        <v>0.20623518695411028</v>
      </c>
    </row>
    <row r="8" spans="1:2" x14ac:dyDescent="0.25">
      <c r="A8" t="s">
        <v>5</v>
      </c>
      <c r="B8" s="5">
        <v>0.20896678685313502</v>
      </c>
    </row>
    <row r="9" spans="1:2" x14ac:dyDescent="0.25">
      <c r="A9" t="s">
        <v>6</v>
      </c>
      <c r="B9" s="5">
        <v>0.046379979893626355</v>
      </c>
    </row>
    <row r="10" spans="1:3" x14ac:dyDescent="0.25">
      <c r="A10" t="s">
        <v>7</v>
      </c>
      <c r="B10" s="5">
        <v>0.031232718296880936</v>
      </c>
      <c r="C10" s="6" t="s">
        <v>8</v>
      </c>
    </row>
    <row r="11" spans="1:2" x14ac:dyDescent="0.25">
      <c r="A11" t="s">
        <v>9</v>
      </c>
      <c r="B11" s="5">
        <v>0.29832137628111277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0.1310821624733745</v>
      </c>
      <c r="C14" s="6" t="s">
        <v>13</v>
      </c>
    </row>
    <row r="15" spans="1:3" x14ac:dyDescent="0.25">
      <c r="A15" t="s">
        <v>14</v>
      </c>
      <c r="B15" s="5">
        <v>0.02330675698584496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1.1185900000000002</v>
      </c>
      <c r="C19" s="6" t="s">
        <v>21</v>
      </c>
    </row>
    <row r="20" spans="1:2" x14ac:dyDescent="0.25">
      <c r="A20" t="s">
        <v>22</v>
      </c>
      <c r="B20" s="9">
        <f>B17+B19*B18</f>
        <v>0.09625635700000001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52299190272</v>
      </c>
    </row>
    <row r="23" spans="1:2" x14ac:dyDescent="0.25">
      <c r="A23" t="s">
        <v>26</v>
      </c>
      <c r="B23" s="10">
        <v>2778000000</v>
      </c>
    </row>
    <row r="24" spans="1:2" x14ac:dyDescent="0.25">
      <c r="A24" t="s">
        <v>27</v>
      </c>
      <c r="B24" s="9">
        <f>B22/(B22+B23)</f>
        <v>0.9495616972056712</v>
      </c>
    </row>
    <row r="25" spans="1:2" x14ac:dyDescent="0.25">
      <c r="A25" t="s">
        <v>28</v>
      </c>
      <c r="B25" s="9">
        <f>1-B24</f>
        <v>0.050438302794328815</v>
      </c>
    </row>
    <row r="26" spans="1:2" x14ac:dyDescent="0.25">
      <c r="A26" t="s">
        <v>29</v>
      </c>
      <c r="B26" s="11">
        <f>B24*B20+B25*B21*(1-B8)</f>
        <v>0.09351356957182033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5375000000</v>
      </c>
      <c r="C29" s="6" t="s">
        <v>32</v>
      </c>
    </row>
    <row r="30" spans="1:2" x14ac:dyDescent="0.25">
      <c r="A30" t="s">
        <v>33</v>
      </c>
      <c r="B30" s="10">
        <v>905000000</v>
      </c>
    </row>
    <row r="31" spans="1:2" x14ac:dyDescent="0.25">
      <c r="A31" t="s">
        <v>34</v>
      </c>
      <c r="B31" s="12">
        <v>173000000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0.3237766102325581</v>
      </c>
      <c r="C5" s="5">
        <v>0.15385442508048652</v>
      </c>
      <c r="D5" s="5">
        <v>0.1377476219454257</v>
      </c>
      <c r="E5" s="5">
        <v>0.1216408188103649</v>
      </c>
      <c r="F5" s="5">
        <v>0.10553401567530407</v>
      </c>
      <c r="G5" s="5">
        <v>0.08942721254024326</v>
      </c>
      <c r="H5" s="5">
        <v>0.07332040940518245</v>
      </c>
      <c r="I5" s="5">
        <v>0.05721360627012162</v>
      </c>
      <c r="J5" s="5">
        <v>0.04110680313506081</v>
      </c>
      <c r="K5" s="5">
        <v>0.024999999999999994</v>
      </c>
    </row>
    <row r="6" spans="1:11" x14ac:dyDescent="0.25">
      <c r="A6" t="s">
        <v>50</v>
      </c>
      <c r="B6" s="18">
        <f>Assumptions!B29*(1+B5)</f>
        <v>7115299280</v>
      </c>
      <c r="C6" s="18">
        <f>B6*(1+C5)</f>
        <v>8210019560</v>
      </c>
      <c r="D6" s="18">
        <f>C6*(1+D5)</f>
        <v>9340930230.51543</v>
      </c>
      <c r="E6" s="18">
        <f>D6*(1+E5)</f>
        <v>10477168632.205816</v>
      </c>
      <c r="F6" s="18">
        <f>E6*(1+F5)</f>
        <v>11582866310.869831</v>
      </c>
      <c r="G6" s="18">
        <f>F6*(1+G5)</f>
        <v>12618689758.277212</v>
      </c>
      <c r="H6" s="18">
        <f>G6*(1+H5)</f>
        <v>13543897257.51108</v>
      </c>
      <c r="I6" s="18">
        <f>H6*(1+I5)</f>
        <v>14318792462.565298</v>
      </c>
      <c r="J6" s="18">
        <f>I6*(1+J5)</f>
        <v>14907392245.455761</v>
      </c>
      <c r="K6" s="18">
        <f>J6*(1+K5)</f>
        <v>15280077051.592154</v>
      </c>
    </row>
    <row r="7" spans="1:11" x14ac:dyDescent="0.25">
      <c r="A7" t="s">
        <v>4</v>
      </c>
      <c r="B7" s="9">
        <f>Assumptions!B7</f>
        <v>0.20623518695411028</v>
      </c>
      <c r="C7" s="9">
        <f>Assumptions!B7</f>
        <v>0.20623518695411028</v>
      </c>
      <c r="D7" s="9">
        <f>Assumptions!B7</f>
        <v>0.20623518695411028</v>
      </c>
      <c r="E7" s="9">
        <f>Assumptions!B7</f>
        <v>0.20623518695411028</v>
      </c>
      <c r="F7" s="9">
        <f>Assumptions!B7</f>
        <v>0.20623518695411028</v>
      </c>
      <c r="G7" s="9">
        <f>Assumptions!B7</f>
        <v>0.20623518695411028</v>
      </c>
      <c r="H7" s="9">
        <f>Assumptions!B7</f>
        <v>0.20623518695411028</v>
      </c>
      <c r="I7" s="9">
        <f>Assumptions!B7</f>
        <v>0.20623518695411028</v>
      </c>
      <c r="J7" s="9">
        <f>Assumptions!B7</f>
        <v>0.20623518695411028</v>
      </c>
      <c r="K7" s="9">
        <f>Assumptions!B7</f>
        <v>0.20623518695411028</v>
      </c>
    </row>
    <row r="8" spans="1:11" x14ac:dyDescent="0.25">
      <c r="A8" t="s">
        <v>51</v>
      </c>
      <c r="B8" s="18">
        <f>B6*B7</f>
        <v>1467425077.2452462</v>
      </c>
      <c r="C8" s="18">
        <f>C6*C7</f>
        <v>1693194918.8535023</v>
      </c>
      <c r="D8" s="18">
        <f>D6*D7</f>
        <v>1926428492.4156501</v>
      </c>
      <c r="E8" s="18">
        <f>E6*E7</f>
        <v>2160760831.612706</v>
      </c>
      <c r="F8" s="18">
        <f>F6*F7</f>
        <v>2388794599.086705</v>
      </c>
      <c r="G8" s="18">
        <f>G6*G7</f>
        <v>2602417841.4142175</v>
      </c>
      <c r="H8" s="18">
        <f>H6*H7</f>
        <v>2793228182.990059</v>
      </c>
      <c r="I8" s="18">
        <f>I6*I7</f>
        <v>2953038840.4742594</v>
      </c>
      <c r="J8" s="18">
        <f>J6*J7</f>
        <v>3074428826.739823</v>
      </c>
      <c r="K8" s="18">
        <f>K6*K7</f>
        <v>3151289547.408318</v>
      </c>
    </row>
    <row r="9" spans="1:11" x14ac:dyDescent="0.25">
      <c r="A9" t="s">
        <v>52</v>
      </c>
      <c r="B9" s="18">
        <f>B8*(1-Assumptions!B8)</f>
        <v>1160781973.9055936</v>
      </c>
      <c r="C9" s="18">
        <f>C8*(1-Assumptions!B8)</f>
        <v>1339373417.1446311</v>
      </c>
      <c r="D9" s="18">
        <f>D8*(1-Assumptions!B8)</f>
        <v>1523868920.2532227</v>
      </c>
      <c r="E9" s="18">
        <f>E8*(1-Assumptions!B8)</f>
        <v>1709233583.472491</v>
      </c>
      <c r="F9" s="18">
        <f>F8*(1-Assumptions!B8)</f>
        <v>1889615867.2634335</v>
      </c>
      <c r="G9" s="18">
        <f>G8*(1-Assumptions!B8)</f>
        <v>2058598947.0446167</v>
      </c>
      <c r="H9" s="18">
        <f>H8*(1-Assumptions!B8)</f>
        <v>2209536264.6430054</v>
      </c>
      <c r="I9" s="18">
        <f>I8*(1-Assumptions!B8)</f>
        <v>2335951802.527846</v>
      </c>
      <c r="J9" s="18">
        <f>J8*(1-Assumptions!B8)</f>
        <v>2431975313.407348</v>
      </c>
      <c r="K9" s="18">
        <f>K8*(1-Assumptions!B8)</f>
        <v>2492774696.2425313</v>
      </c>
    </row>
    <row r="10" spans="1:11" x14ac:dyDescent="0.25">
      <c r="A10" t="s">
        <v>53</v>
      </c>
      <c r="B10" s="18">
        <f>B6*Assumptions!B9</f>
        <v>330007437.5435341</v>
      </c>
      <c r="C10" s="18">
        <f>C6*Assumptions!B9</f>
        <v>380780542.1190791</v>
      </c>
      <c r="D10" s="18">
        <f>D6*Assumptions!B9</f>
        <v>433232156.2790723</v>
      </c>
      <c r="E10" s="18">
        <f>E6*Assumptions!B9</f>
        <v>485930870.5038385</v>
      </c>
      <c r="F10" s="18">
        <f>F6*Assumptions!B9</f>
        <v>537213106.6087048</v>
      </c>
      <c r="G10" s="18">
        <f>G6*Assumptions!B9</f>
        <v>585254577.2728059</v>
      </c>
      <c r="H10" s="18">
        <f>H6*Assumptions!B9</f>
        <v>628165682.484705</v>
      </c>
      <c r="I10" s="18">
        <f>I6*Assumptions!B9</f>
        <v>664105306.5147871</v>
      </c>
      <c r="J10" s="18">
        <f>J6*Assumptions!B9</f>
        <v>691404552.6106397</v>
      </c>
      <c r="K10" s="18">
        <f>K6*Assumptions!B9</f>
        <v>708689666.4259056</v>
      </c>
    </row>
    <row r="11" spans="1:11" x14ac:dyDescent="0.25">
      <c r="A11" t="s">
        <v>54</v>
      </c>
      <c r="B11" s="18">
        <f>-B6*B19</f>
        <v>-222230138.01023975</v>
      </c>
      <c r="C11" s="18">
        <f>-C6*C19</f>
        <v>-280749214.34384733</v>
      </c>
      <c r="D11" s="18">
        <f>-D6*D19</f>
        <v>-347100859.44501024</v>
      </c>
      <c r="E11" s="18">
        <f>-E6*E19</f>
        <v>-420368510.07722306</v>
      </c>
      <c r="F11" s="18">
        <f>-F6*F19</f>
        <v>-499054115.8262127</v>
      </c>
      <c r="G11" s="18">
        <f>-G6*G19</f>
        <v>-581074922.2651062</v>
      </c>
      <c r="H11" s="18">
        <f>-H6*H19</f>
        <v>-663812942.6156536</v>
      </c>
      <c r="I11" s="18">
        <f>-I6*I19</f>
        <v>-744221618.8875885</v>
      </c>
      <c r="J11" s="18">
        <f>-J6*J19</f>
        <v>-818987877.3098611</v>
      </c>
      <c r="K11" s="18">
        <f>-K6*K19</f>
        <v>-884740603.2595568</v>
      </c>
    </row>
    <row r="12" spans="1:11" x14ac:dyDescent="0.25">
      <c r="A12" t="s">
        <v>55</v>
      </c>
      <c r="B12" s="18">
        <f>-(B6-Assumptions!B29)*Assumptions!B11</f>
        <v>-519168476.3506296</v>
      </c>
      <c r="C12" s="18">
        <f>-(C6-B6)*Assumptions!B11</f>
        <v>-326578460.57244515</v>
      </c>
      <c r="D12" s="18">
        <f>-(D6-C6)*Assumptions!B11</f>
        <v>-337374827.6791593</v>
      </c>
      <c r="E12" s="18">
        <f>-(E6-D6)*Assumptions!B11</f>
        <v>-338964203.77572775</v>
      </c>
      <c r="F12" s="18">
        <f>-(F6-E6)*Assumptions!B11</f>
        <v>-329853253.2498805</v>
      </c>
      <c r="G12" s="18">
        <f>-(G6-F6)*Assumptions!B11</f>
        <v>-309008276.41481674</v>
      </c>
      <c r="H12" s="18">
        <f>-(H6-G6)*Assumptions!B11</f>
        <v>-276009174.51705396</v>
      </c>
      <c r="I12" s="18">
        <f>-(I6-H6)*Assumptions!B11</f>
        <v>-231167804.0454095</v>
      </c>
      <c r="J12" s="18">
        <f>-(J6-I6)*Assumptions!B11</f>
        <v>-175591897.31064707</v>
      </c>
      <c r="K12" s="18">
        <f>-(K6-J6)*Assumptions!B11</f>
        <v>-111179844.28566834</v>
      </c>
    </row>
    <row r="13" spans="1:11" x14ac:dyDescent="0.25">
      <c r="A13" s="19" t="s">
        <v>56</v>
      </c>
      <c r="B13" s="20">
        <f>B9+B10+B11+B12</f>
        <v>749390797.0882583</v>
      </c>
      <c r="C13" s="20">
        <f>C9+C10+C11+C12</f>
        <v>1112826284.3474178</v>
      </c>
      <c r="D13" s="20">
        <f>D9+D10+D11+D12</f>
        <v>1272625389.4081254</v>
      </c>
      <c r="E13" s="20">
        <f>E9+E10+E11+E12</f>
        <v>1435831740.1233785</v>
      </c>
      <c r="F13" s="20">
        <f>F9+F10+F11+F12</f>
        <v>1597921604.7960448</v>
      </c>
      <c r="G13" s="20">
        <f>G9+G10+G11+G12</f>
        <v>1753770325.6374998</v>
      </c>
      <c r="H13" s="20">
        <f>H9+H10+H11+H12</f>
        <v>1897879829.9950027</v>
      </c>
      <c r="I13" s="20">
        <f>I9+I10+I11+I12</f>
        <v>2024667686.109635</v>
      </c>
      <c r="J13" s="20">
        <f>J9+J10+J11+J12</f>
        <v>2128800091.3974795</v>
      </c>
      <c r="K13" s="20">
        <f>K9+K10+K11+K12</f>
        <v>2205543915.123212</v>
      </c>
    </row>
    <row r="14" spans="1:11" x14ac:dyDescent="0.25">
      <c r="A14" t="s">
        <v>57</v>
      </c>
      <c r="B14" s="21">
        <f>1/(1+Assumptions!$B$26)^(1-0.5*Assumptions!$B$32)</f>
        <v>0.9562862508446732</v>
      </c>
      <c r="C14" s="21">
        <f>1/(1+Assumptions!$B$26)^(2-0.5*Assumptions!$B$32)</f>
        <v>0.8745078958820052</v>
      </c>
      <c r="D14" s="21">
        <f>1/(1+Assumptions!$B$26)^(3-0.5*Assumptions!$B$32)</f>
        <v>0.7997229483164349</v>
      </c>
      <c r="E14" s="21">
        <f>1/(1+Assumptions!$B$26)^(4-0.5*Assumptions!$B$32)</f>
        <v>0.7313333556798723</v>
      </c>
      <c r="F14" s="21">
        <f>1/(1+Assumptions!$B$26)^(5-0.5*Assumptions!$B$32)</f>
        <v>0.6687922089217746</v>
      </c>
      <c r="G14" s="21">
        <f>1/(1+Assumptions!$B$26)^(6-0.5*Assumptions!$B$32)</f>
        <v>0.6115993687976354</v>
      </c>
      <c r="H14" s="21">
        <f>1/(1+Assumptions!$B$26)^(7-0.5*Assumptions!$B$32)</f>
        <v>0.5592974662738893</v>
      </c>
      <c r="I14" s="21">
        <f>1/(1+Assumptions!$B$26)^(8-0.5*Assumptions!$B$32)</f>
        <v>0.511468244964614</v>
      </c>
      <c r="J14" s="21">
        <f>1/(1+Assumptions!$B$26)^(9-0.5*Assumptions!$B$32)</f>
        <v>0.4677292163506358</v>
      </c>
      <c r="K14" s="21">
        <f>1/(1+Assumptions!$B$26)^(10-0.5*Assumptions!$B$32)</f>
        <v>0.427730601032945</v>
      </c>
    </row>
    <row r="15" spans="1:11" x14ac:dyDescent="0.25">
      <c r="A15" s="19" t="s">
        <v>58</v>
      </c>
      <c r="B15" s="20">
        <f>B13*B14</f>
        <v>716632115.7650318</v>
      </c>
      <c r="C15" s="20">
        <f>C13*C14</f>
        <v>973175372.4068503</v>
      </c>
      <c r="D15" s="20">
        <f>D13*D14</f>
        <v>1017747728.5198171</v>
      </c>
      <c r="E15" s="20">
        <f>E13*E14</f>
        <v>1050071644.6961008</v>
      </c>
      <c r="F15" s="20">
        <f>F13*F14</f>
        <v>1068677519.7553737</v>
      </c>
      <c r="G15" s="20">
        <f>G13*G14</f>
        <v>1072604824.1759185</v>
      </c>
      <c r="H15" s="20">
        <f>H13*H14</f>
        <v>1061479380.2085248</v>
      </c>
      <c r="I15" s="20">
        <f>I13*I14</f>
        <v>1035553228.051061</v>
      </c>
      <c r="J15" s="20">
        <f>J13*J14</f>
        <v>995701998.516505</v>
      </c>
      <c r="K15" s="20">
        <f>K13*K14</f>
        <v>943378624.4202061</v>
      </c>
    </row>
    <row r="17" spans="1:2" x14ac:dyDescent="0.25">
      <c r="A17" s="22" t="s">
        <v>59</v>
      </c>
      <c r="B17" s="23">
        <f>SUM(B15:K15)</f>
        <v>9935022436.515388</v>
      </c>
    </row>
    <row r="19" spans="1:11" x14ac:dyDescent="0.25">
      <c r="A19" t="s">
        <v>7</v>
      </c>
      <c r="B19" s="9">
        <f>Assumptions!$B$10+($B$20-Assumptions!$B$10)*0/9</f>
        <v>0.031232718296880936</v>
      </c>
      <c r="C19" s="9">
        <f>Assumptions!$B$10+($B$20-Assumptions!$B$10)*1/9</f>
        <v>0.034195925148788234</v>
      </c>
      <c r="D19" s="9">
        <f>Assumptions!$B$10+($B$20-Assumptions!$B$10)*2/9</f>
        <v>0.03715913200069553</v>
      </c>
      <c r="E19" s="9">
        <f>Assumptions!$B$10+($B$20-Assumptions!$B$10)*3/9</f>
        <v>0.04012233885260283</v>
      </c>
      <c r="F19" s="9">
        <f>Assumptions!$B$10+($B$20-Assumptions!$B$10)*4/9</f>
        <v>0.04308554570451013</v>
      </c>
      <c r="G19" s="9">
        <f>Assumptions!$B$10+($B$20-Assumptions!$B$10)*5/9</f>
        <v>0.04604875255641743</v>
      </c>
      <c r="H19" s="9">
        <f>Assumptions!$B$10+($B$20-Assumptions!$B$10)*6/9</f>
        <v>0.04901195940832473</v>
      </c>
      <c r="I19" s="9">
        <f>Assumptions!$B$10+($B$20-Assumptions!$B$10)*7/9</f>
        <v>0.05197516626023203</v>
      </c>
      <c r="J19" s="9">
        <f>Assumptions!$B$10+($B$20-Assumptions!$B$10)*8/9</f>
        <v>0.054938373112139324</v>
      </c>
      <c r="K19" s="9">
        <f>Assumptions!$B$10+($B$20-Assumptions!$B$10)*9/9</f>
        <v>0.05790157996404662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0.05790157996404662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2205543915.123212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2771661859.363144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0.1907200760826479</v>
      </c>
    </row>
    <row r="7" spans="1:2" x14ac:dyDescent="0.25">
      <c r="A7" t="s">
        <v>66</v>
      </c>
      <c r="B7" s="18">
        <f>-MAX(B5,0)*B6</f>
        <v>-528611560.6931122</v>
      </c>
    </row>
    <row r="8" spans="1:2" x14ac:dyDescent="0.25">
      <c r="A8" t="s">
        <v>67</v>
      </c>
      <c r="B8" s="18">
        <f>IF(OR(Assumptions!$B$33=0,Assumptions!B12&lt;=0),B5,MAX(B5+B7,0))</f>
        <v>2243050298.6700315</v>
      </c>
    </row>
    <row r="9" spans="1:2" x14ac:dyDescent="0.25">
      <c r="A9" t="s">
        <v>68</v>
      </c>
      <c r="B9" s="18">
        <f>B8*(1+Assumptions!B12)/(Assumptions!B26-Assumptions!B12)</f>
        <v>33557243776.748337</v>
      </c>
    </row>
    <row r="10" spans="1:2" x14ac:dyDescent="0.25">
      <c r="A10" t="s">
        <v>69</v>
      </c>
      <c r="B10" s="18">
        <f>B9/(1+Assumptions!B26)^(10-0.5*Assumptions!B32)</f>
        <v>14353460049.63762</v>
      </c>
    </row>
    <row r="11" spans="1:2" x14ac:dyDescent="0.25">
      <c r="A11" t="s">
        <v>70</v>
      </c>
      <c r="B11" s="18">
        <f>Forecast!B17+B10</f>
        <v>24288482486.153008</v>
      </c>
    </row>
    <row r="12" spans="1:2" x14ac:dyDescent="0.25">
      <c r="A12" t="s">
        <v>71</v>
      </c>
      <c r="B12" s="18">
        <f>-Assumptions!B30</f>
        <v>-905000000</v>
      </c>
    </row>
    <row r="13" spans="1:2" x14ac:dyDescent="0.25">
      <c r="A13" t="s">
        <v>72</v>
      </c>
      <c r="B13" s="18">
        <f>B11+B12</f>
        <v>23383482486.153008</v>
      </c>
    </row>
    <row r="14" spans="1:2" x14ac:dyDescent="0.25">
      <c r="A14" s="19" t="s">
        <v>73</v>
      </c>
      <c r="B14" s="24">
        <f>B13/Assumptions!B31</f>
        <v>135.16463864828327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3859979213.8342237</v>
      </c>
    </row>
    <row r="18" spans="1:2" x14ac:dyDescent="0.25">
      <c r="A18" t="s">
        <v>68</v>
      </c>
      <c r="B18" s="18">
        <f>B17*Assumptions!B13</f>
        <v>77199584276.68448</v>
      </c>
    </row>
    <row r="19" spans="1:2" x14ac:dyDescent="0.25">
      <c r="A19" t="s">
        <v>69</v>
      </c>
      <c r="B19" s="18">
        <f>B18/(1+Assumptions!B26)^(10-0.5*Assumptions!B32)</f>
        <v>33020624582.159744</v>
      </c>
    </row>
    <row r="20" spans="1:2" x14ac:dyDescent="0.25">
      <c r="A20" t="s">
        <v>70</v>
      </c>
      <c r="B20" s="18">
        <f>Forecast!B17+B19</f>
        <v>42955647018.67513</v>
      </c>
    </row>
    <row r="21" spans="1:2" x14ac:dyDescent="0.25">
      <c r="A21" t="s">
        <v>71</v>
      </c>
      <c r="B21" s="18">
        <f>-Assumptions!B30</f>
        <v>-905000000</v>
      </c>
    </row>
    <row r="22" spans="1:2" x14ac:dyDescent="0.25">
      <c r="A22" t="s">
        <v>72</v>
      </c>
      <c r="B22" s="18">
        <f>B20+B21</f>
        <v>42050647018.67513</v>
      </c>
    </row>
    <row r="23" spans="1:2" x14ac:dyDescent="0.25">
      <c r="A23" s="19" t="s">
        <v>73</v>
      </c>
      <c r="B23" s="25">
        <f>B22/Assumptions!B31</f>
        <v>243.0673238073707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307.2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135.16463864828327</v>
      </c>
    </row>
    <row r="29" spans="1:2" x14ac:dyDescent="0.25">
      <c r="A29" s="19" t="s">
        <v>81</v>
      </c>
      <c r="B29" s="11">
        <f>B28/B26-1</f>
        <v>-0.5600109419001196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0.073514</v>
      </c>
      <c r="B5" s="31">
        <v>186.6941393614393</v>
      </c>
      <c r="C5" s="31">
        <v>191.51174753305628</v>
      </c>
      <c r="D5" s="31">
        <v>197.5965496069406</v>
      </c>
      <c r="E5" s="31">
        <v>205.3853684110102</v>
      </c>
      <c r="F5" s="31">
        <v>215.5418652360365</v>
      </c>
    </row>
    <row r="6" spans="1:6" x14ac:dyDescent="0.25">
      <c r="A6" s="30">
        <v>0.083514</v>
      </c>
      <c r="B6" s="31">
        <v>156.16399413032696</v>
      </c>
      <c r="C6" s="31">
        <v>158.28615883502485</v>
      </c>
      <c r="D6" s="31">
        <v>160.9856678207991</v>
      </c>
      <c r="E6" s="31">
        <v>164.42435096798306</v>
      </c>
      <c r="F6" s="31">
        <v>168.83075287032568</v>
      </c>
    </row>
    <row r="7" spans="1:6" x14ac:dyDescent="0.25">
      <c r="A7" s="30">
        <v>0.093514</v>
      </c>
      <c r="B7" s="31">
        <v>133.54581444130037</v>
      </c>
      <c r="C7" s="31">
        <v>134.21898195323266</v>
      </c>
      <c r="D7" s="32">
        <v>135.16369149962756</v>
      </c>
      <c r="E7" s="31">
        <v>136.44407272933339</v>
      </c>
      <c r="F7" s="31">
        <v>138.14617471179767</v>
      </c>
    </row>
    <row r="8" spans="1:6" x14ac:dyDescent="0.25">
      <c r="A8" s="30">
        <v>0.103514</v>
      </c>
      <c r="B8" s="31">
        <v>116.14938244225452</v>
      </c>
      <c r="C8" s="31">
        <v>116.01284295928426</v>
      </c>
      <c r="D8" s="31">
        <v>116.00196383956136</v>
      </c>
      <c r="E8" s="31">
        <v>116.14238517135078</v>
      </c>
      <c r="F8" s="31">
        <v>116.4672316703702</v>
      </c>
    </row>
    <row r="9" spans="1:6" x14ac:dyDescent="0.25">
      <c r="A9" s="30">
        <v>0.113514</v>
      </c>
      <c r="B9" s="31">
        <v>102.37745298082885</v>
      </c>
      <c r="C9" s="31">
        <v>101.78135863390392</v>
      </c>
      <c r="D9" s="31">
        <v>101.23805372511518</v>
      </c>
      <c r="E9" s="31">
        <v>100.75701979734225</v>
      </c>
      <c r="F9" s="31">
        <v>100.35015364243411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5375000000</v>
      </c>
      <c r="C5" s="18">
        <v>4979000000</v>
      </c>
      <c r="D5" s="18">
        <v>5464000000</v>
      </c>
      <c r="E5" s="18">
        <v>5420000000</v>
      </c>
      <c r="F5" s="6" t="s">
        <v>91</v>
      </c>
    </row>
    <row r="6" spans="1:6" x14ac:dyDescent="0.25">
      <c r="A6" t="s">
        <v>51</v>
      </c>
      <c r="B6" s="18">
        <v>876000000</v>
      </c>
      <c r="C6" s="18">
        <v>833000000</v>
      </c>
      <c r="D6" s="18">
        <v>1358000000</v>
      </c>
      <c r="E6" s="18">
        <v>1334000000</v>
      </c>
      <c r="F6" s="6" t="s">
        <v>92</v>
      </c>
    </row>
    <row r="7" spans="1:6" x14ac:dyDescent="0.25">
      <c r="A7" t="s">
        <v>93</v>
      </c>
      <c r="B7" s="18">
        <v>276000000</v>
      </c>
      <c r="C7" s="18">
        <v>270000000</v>
      </c>
      <c r="D7" s="18">
        <v>212000000</v>
      </c>
      <c r="E7" s="18">
        <v>223000000</v>
      </c>
      <c r="F7" s="6" t="s">
        <v>94</v>
      </c>
    </row>
    <row r="8" spans="1:6" x14ac:dyDescent="0.25">
      <c r="A8" t="s">
        <v>95</v>
      </c>
      <c r="B8" s="18">
        <v>128000000</v>
      </c>
      <c r="C8" s="18">
        <v>154000000</v>
      </c>
      <c r="D8" s="18">
        <v>197000000</v>
      </c>
      <c r="E8" s="18">
        <v>185000000</v>
      </c>
      <c r="F8" s="6" t="s">
        <v>96</v>
      </c>
    </row>
    <row r="9" spans="1:6" x14ac:dyDescent="0.25">
      <c r="A9" t="s">
        <v>97</v>
      </c>
      <c r="B9" s="18">
        <v>-302000000</v>
      </c>
      <c r="C9" s="18">
        <v>271000000</v>
      </c>
      <c r="D9" s="18">
        <v>126000000</v>
      </c>
      <c r="E9" s="18">
        <v>404000000</v>
      </c>
      <c r="F9" s="6" t="s">
        <v>98</v>
      </c>
    </row>
    <row r="10" spans="1:6" x14ac:dyDescent="0.25">
      <c r="A10" t="s">
        <v>99</v>
      </c>
      <c r="B10" s="18">
        <v>2778000000</v>
      </c>
      <c r="C10" s="18">
        <v>2030000000</v>
      </c>
      <c r="D10" s="18">
        <v>2026000000</v>
      </c>
      <c r="E10" s="18">
        <v>2018000000</v>
      </c>
      <c r="F10" s="6" t="s">
        <v>100</v>
      </c>
    </row>
    <row r="11" spans="1:6" x14ac:dyDescent="0.25">
      <c r="A11" t="s">
        <v>101</v>
      </c>
      <c r="B11" s="18">
        <v>1873000000</v>
      </c>
      <c r="C11" s="18">
        <v>1796000000</v>
      </c>
      <c r="D11" s="18">
        <v>2472000000</v>
      </c>
      <c r="E11" s="18">
        <v>2042000000</v>
      </c>
      <c r="F11" s="6" t="s">
        <v>102</v>
      </c>
    </row>
    <row r="12" spans="1:6" x14ac:dyDescent="0.25">
      <c r="A12" t="s">
        <v>34</v>
      </c>
      <c r="B12" s="34">
        <v>173000000</v>
      </c>
      <c r="C12" s="34">
        <v>175000000</v>
      </c>
      <c r="D12" s="34">
        <v>179000000</v>
      </c>
      <c r="E12" s="34">
        <v>182000000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