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<sst xmlns="http://schemas.openxmlformats.org/spreadsheetml/2006/main" count="112" uniqueCount="100">
  <si>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Keysight Technologies, Inc. (KEYS)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</si>
  <si>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</si>
  <si>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</si>
  <si>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</si>
  <si>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</si>
  <si>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</si>
  <si>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</si>
  <si>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</si>
  <si>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</si>
  <si>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</si>
  <si>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</si>
  <si>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</si>
  <si>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</si>
  <si>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</si>
  <si>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</si>
  <si>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</si>
  <si>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</si>
  <si>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</si>
  <si>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</si>
  <si>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</si>
  <si>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</si>
  <si>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</si>
  <si>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</si>
  <si>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</si>
  <si>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</si>
  <si>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</si>
  <si>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</si>
  <si>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</si>
  <si>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</si>
  <si>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</si>
  <si>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</si>
  <si>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</si>
  <si>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</si>
  <si>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</si>
  <si>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</si>
  <si>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</si>
  <si>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</si>
  <si>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</si>
  <si>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</si>
  <si>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</si>
  <si>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</si>
  <si>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</si>
  <si>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</si>
  <si>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</si>
  <si>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</si>
  <si>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</si>
  <si>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</si>
  <si>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</si>
  <si>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</si>
  <si>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</si>
  <si>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</si>
  <si>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</si>
  <si>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</si>
  <si>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</si>
  <si>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</si>
  <si>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</si>
  <si>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</si>
  <si>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</si>
  <si>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</si>
  <si>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</si>
  <si>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</si>
  <si>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</si>
  <si>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</si>
  <si>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</si>
  <si>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</si>
  <si>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</si>
  <si>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</si>
  <si>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</si>
  <si>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</si>
  <si>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</si>
  <si>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</si>
  <si>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</si>
  <si>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</si>
  <si>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</si>
  <si>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</si>
  <si>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</si>
  <si>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</si>
  <si>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</si>
  <si>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</si>
  <si>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</si>
  <si>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</si>
  <si>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</si>
  <si>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</si>
  <si>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</si>
  <si>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</si>
  <si>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</si>
  <si>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</si>
  <si>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</si>
  <si>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</si>
  <si>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</si>
  <si>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</si>
  <si>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</si>
  <si>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</si>
  <si>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</si>
  <si>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</si>
  <si>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</si>
  <si>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</si>
  <si>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</si>
  <si>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50.3x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</si>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</sst>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-0.0027752224099102385</v>
      </c>
    </row>
    <row r="7" spans="1:2" x14ac:dyDescent="0.25">
      <c r="A7" t="s">
        <v>5</v>
      </c>
      <c r="B7" s="6">
        <v>0.20623518695411028</v>
      </c>
    </row>
    <row r="8" spans="1:2" x14ac:dyDescent="0.25">
      <c r="A8" t="s">
        <v>6</v>
      </c>
      <c r="B8" s="6">
        <v>0.20896678685313502</v>
      </c>
    </row>
    <row r="9" spans="1:2" x14ac:dyDescent="0.25">
      <c r="A9" t="s">
        <v>7</v>
      </c>
      <c r="B9" s="6">
        <v>0.046379979893626355</v>
      </c>
    </row>
    <row r="10" spans="1:2" x14ac:dyDescent="0.25">
      <c r="A10" t="s">
        <v>8</v>
      </c>
      <c r="B10" s="6">
        <v>0.031232718296880936</v>
      </c>
    </row>
    <row r="11" spans="1:2" x14ac:dyDescent="0.25">
      <c r="A11" t="s">
        <v>9</v>
      </c>
      <c r="B11" s="6">
        <v>-0.5587628865979382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0.1310821624733745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1.13936</v>
      </c>
      <c r="C19" s="8" t="s">
        <v>19</v>
      </c>
    </row>
    <row r="20" spans="1:2" x14ac:dyDescent="0.25">
      <c r="A20" t="s">
        <v>20</v>
      </c>
      <c r="B20" s="10">
        <f>B17+B19*B18</f>
        <v>0.11264479999999999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57031991296</v>
      </c>
    </row>
    <row r="23" spans="1:2" x14ac:dyDescent="0.25">
      <c r="A23" t="s">
        <v>24</v>
      </c>
      <c r="B23" s="11">
        <v>2778000000</v>
      </c>
    </row>
    <row r="24" spans="1:2" x14ac:dyDescent="0.25">
      <c r="A24" t="s">
        <v>25</v>
      </c>
      <c r="B24" s="10">
        <f>B22/(B22+B23)</f>
        <v>0.9535529108129833</v>
      </c>
    </row>
    <row r="25" spans="1:2" x14ac:dyDescent="0.25">
      <c r="A25" t="s">
        <v>26</v>
      </c>
      <c r="B25" s="10">
        <f>1-B24</f>
        <v>0.04644708918701668</v>
      </c>
    </row>
    <row r="26" spans="1:2" x14ac:dyDescent="0.25">
      <c r="A26" t="s">
        <v>27</v>
      </c>
      <c r="B26" s="12">
        <f>B24*B20+B25*B21*(1-B8)</f>
        <v>0.10924910161418855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5375000000</v>
      </c>
      <c r="C29" s="8" t="s">
        <v>30</v>
      </c>
    </row>
    <row r="30" spans="1:2" x14ac:dyDescent="0.25">
      <c r="A30" t="s">
        <v>31</v>
      </c>
      <c r="B30" s="11">
        <v>905000000</v>
      </c>
    </row>
    <row r="31" spans="1:2" x14ac:dyDescent="0.25">
      <c r="A31" t="s">
        <v>32</v>
      </c>
      <c r="B31" s="13">
        <v>173000000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-0.0027752224099102385</v>
      </c>
      <c r="C5" s="10">
        <f>Assumptions!B6</f>
        <v>-0.0027752224099102385</v>
      </c>
      <c r="D5" s="10">
        <f>Assumptions!B6</f>
        <v>-0.0027752224099102385</v>
      </c>
      <c r="E5" s="10">
        <f>Assumptions!B6</f>
        <v>-0.0027752224099102385</v>
      </c>
      <c r="F5" s="10">
        <f>Assumptions!B6</f>
        <v>-0.0027752224099102385</v>
      </c>
    </row>
    <row r="6" spans="1:6" x14ac:dyDescent="0.25">
      <c r="A6" t="s">
        <v>43</v>
      </c>
      <c r="B6" s="18">
        <f>Assumptions!B29*(1+B5)</f>
        <v>5360083179.546733</v>
      </c>
      <c r="C6" s="18">
        <f>B6*(1+C5)</f>
        <v>5345207756.587872</v>
      </c>
      <c r="D6" s="18">
        <f>C6*(1+D5)</f>
        <v>5330373616.236163</v>
      </c>
      <c r="E6" s="18">
        <f>D6*(1+E5)</f>
        <v>5315580643.92319</v>
      </c>
      <c r="F6" s="18">
        <f>E6*(1+F5)</f>
        <v>5300828725.398489</v>
      </c>
    </row>
    <row r="7" spans="1:6" x14ac:dyDescent="0.25">
      <c r="A7" t="s">
        <v>5</v>
      </c>
      <c r="B7" s="10">
        <f>Assumptions!B7</f>
        <v>0.20623518695411028</v>
      </c>
      <c r="C7" s="10">
        <f>Assumptions!B7</f>
        <v>0.20623518695411028</v>
      </c>
      <c r="D7" s="10">
        <f>Assumptions!B7</f>
        <v>0.20623518695411028</v>
      </c>
      <c r="E7" s="10">
        <f>Assumptions!B7</f>
        <v>0.20623518695411028</v>
      </c>
      <c r="F7" s="10">
        <f>Assumptions!B7</f>
        <v>0.20623518695411028</v>
      </c>
    </row>
    <row r="8" spans="1:6" x14ac:dyDescent="0.25">
      <c r="A8" t="s">
        <v>44</v>
      </c>
      <c r="B8" s="18">
        <f>B6*B7</f>
        <v>1105437756.6234024</v>
      </c>
      <c r="C8" s="18">
        <f>C6*C7</f>
        <v>1102369920.98846</v>
      </c>
      <c r="D8" s="18">
        <f>D6*D7</f>
        <v>1099310599.279722</v>
      </c>
      <c r="E8" s="18">
        <f>E6*E7</f>
        <v>1096259767.869149</v>
      </c>
      <c r="F8" s="18">
        <f>F6*F7</f>
        <v>1093217403.1942754</v>
      </c>
    </row>
    <row r="9" spans="1:6" x14ac:dyDescent="0.25">
      <c r="A9" t="s">
        <v>45</v>
      </c>
      <c r="B9" s="18">
        <f>B8*(1-Assumptions!B8)</f>
        <v>874437980.555672</v>
      </c>
      <c r="C9" s="18">
        <f>C8*(1-Assumptions!B8)</f>
        <v>872011220.6759572</v>
      </c>
      <c r="D9" s="18">
        <f>D8*(1-Assumptions!B8)</f>
        <v>869591195.5946441</v>
      </c>
      <c r="E9" s="18">
        <f>E8*(1-Assumptions!B8)</f>
        <v>867177886.6211692</v>
      </c>
      <c r="F9" s="18">
        <f>F8*(1-Assumptions!B8)</f>
        <v>864771275.1168394</v>
      </c>
    </row>
    <row r="10" spans="1:6" x14ac:dyDescent="0.25">
      <c r="A10" t="s">
        <v>46</v>
      </c>
      <c r="B10" s="18">
        <f>B6*Assumptions!B9</f>
        <v>248600550.0955423</v>
      </c>
      <c r="C10" s="18">
        <f>C6*Assumptions!B9</f>
        <v>247910628.27780113</v>
      </c>
      <c r="D10" s="18">
        <f>D6*Assumptions!B9</f>
        <v>247222621.14654964</v>
      </c>
      <c r="E10" s="18">
        <f>E6*Assumptions!B9</f>
        <v>246536523.388107</v>
      </c>
      <c r="F10" s="18">
        <f>F6*Assumptions!B9</f>
        <v>245852329.70353895</v>
      </c>
    </row>
    <row r="11" spans="1:6" x14ac:dyDescent="0.25">
      <c r="A11" t="s">
        <v>47</v>
      </c>
      <c r="B11" s="18">
        <f>-B6*Assumptions!B10</f>
        <v>-167409967.994633</v>
      </c>
      <c r="C11" s="18">
        <f>-C6*Assumptions!B10</f>
        <v>-166945368.0998119</v>
      </c>
      <c r="D11" s="18">
        <f>-D6*Assumptions!B10</f>
        <v>-166482057.57303062</v>
      </c>
      <c r="E11" s="18">
        <f>-E6*Assumptions!B10</f>
        <v>-166020032.83600596</v>
      </c>
      <c r="F11" s="18">
        <f>-F6*Assumptions!B10</f>
        <v>-165559290.32038543</v>
      </c>
    </row>
    <row r="12" spans="1:6" x14ac:dyDescent="0.25">
      <c r="A12" t="s">
        <v>48</v>
      </c>
      <c r="B12" s="18">
        <f>-(B6-Assumptions!B29)*Assumptions!B11</f>
        <v>-8334965.655330688</v>
      </c>
      <c r="C12" s="18">
        <f>-(C6-B6)*Assumptions!B11</f>
        <v>-8311834.271858611</v>
      </c>
      <c r="D12" s="18">
        <f>-(D6-C6)*Assumptions!B11</f>
        <v>-8288767.083119546</v>
      </c>
      <c r="E12" s="18">
        <f>-(E6-D6)*Assumptions!B11</f>
        <v>-8265763.9109601835</v>
      </c>
      <c r="F12" s="18">
        <f>-(F6-E6)*Assumptions!B11</f>
        <v>-8242824.577719594</v>
      </c>
    </row>
    <row r="13" spans="1:6" x14ac:dyDescent="0.25">
      <c r="A13" s="19" t="s">
        <v>49</v>
      </c>
      <c r="B13" s="20">
        <f>B9+B10+B11+B12</f>
        <v>947293597.0012507</v>
      </c>
      <c r="C13" s="20">
        <f>C9+C10+C11+C12</f>
        <v>944664646.5820878</v>
      </c>
      <c r="D13" s="20">
        <f>D9+D10+D11+D12</f>
        <v>942042992.0850437</v>
      </c>
      <c r="E13" s="20">
        <f>E9+E10+E11+E12</f>
        <v>939428613.26231</v>
      </c>
      <c r="F13" s="20">
        <f>F9+F10+F11+F12</f>
        <v>936821489.9222733</v>
      </c>
    </row>
    <row r="14" spans="1:6" x14ac:dyDescent="0.25">
      <c r="A14" t="s">
        <v>50</v>
      </c>
      <c r="B14" s="21">
        <f>1/(1+Assumptions!$B$26)^(1-0.5*Assumptions!$B$32)</f>
        <v>0.9494792043199698</v>
      </c>
      <c r="C14" s="21">
        <f>1/(1+Assumptions!$B$26)^(2-0.5*Assumptions!$B$32)</f>
        <v>0.8559657185552639</v>
      </c>
      <c r="D14" s="21">
        <f>1/(1+Assumptions!$B$26)^(3-0.5*Assumptions!$B$32)</f>
        <v>0.7716623049860085</v>
      </c>
      <c r="E14" s="21">
        <f>1/(1+Assumptions!$B$26)^(4-0.5*Assumptions!$B$32)</f>
        <v>0.6956618705961349</v>
      </c>
      <c r="F14" s="21">
        <f>1/(1+Assumptions!$B$26)^(5-0.5*Assumptions!$B$32)</f>
        <v>0.6271466612718477</v>
      </c>
    </row>
    <row r="15" spans="1:6" x14ac:dyDescent="0.25">
      <c r="A15" s="19" t="s">
        <v>51</v>
      </c>
      <c r="B15" s="20">
        <f>B13*B14</f>
        <v>899435570.7381496</v>
      </c>
      <c r="C15" s="20">
        <f>C13*C14</f>
        <v>808600553.0053912</v>
      </c>
      <c r="D15" s="20">
        <f>D13*D14</f>
        <v>726939066.6682609</v>
      </c>
      <c r="E15" s="20">
        <f>E13*E14</f>
        <v>653524666.3935916</v>
      </c>
      <c r="F15" s="20">
        <f>F13*F14</f>
        <v>587524469.6124716</v>
      </c>
    </row>
    <row r="17" spans="1:2" x14ac:dyDescent="0.25">
      <c r="A17" s="22" t="s">
        <v>52</v>
      </c>
      <c r="B17" s="23">
        <f>SUM(B15:F15)</f>
        <v>3676024326.417865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936821489.9222733</v>
      </c>
    </row>
    <row r="5" spans="1:2" x14ac:dyDescent="0.25">
      <c r="A5" t="s">
        <v>56</v>
      </c>
      <c r="B5" s="18">
        <f>IF(Assumptions!$B$33=0,B4,B4-Forecast!F11-Forecast!F10-Forecast!F12)</f>
        <v>961520334.7206061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0.1907200760826479</v>
      </c>
    </row>
    <row r="7" spans="1:2" x14ac:dyDescent="0.25">
      <c r="A7" t="s">
        <v>58</v>
      </c>
      <c r="B7" s="18">
        <f>-MAX(Forecast!F9,0)*B6</f>
        <v>-183381231.39292708</v>
      </c>
    </row>
    <row r="8" spans="1:2" x14ac:dyDescent="0.25">
      <c r="A8" t="s">
        <v>59</v>
      </c>
      <c r="B8" s="18">
        <f>IF(OR(Assumptions!$B$33=0,Assumptions!B12&lt;=0),B5,MAX(B5+B7,0))</f>
        <v>778139103.327679</v>
      </c>
    </row>
    <row r="9" spans="1:2" x14ac:dyDescent="0.25">
      <c r="A9" t="s">
        <v>60</v>
      </c>
      <c r="B9" s="18">
        <f>B8*(1+Assumptions!B12)/(Assumptions!B26-Assumptions!B12)</f>
        <v>9467075204.711107</v>
      </c>
    </row>
    <row r="10" spans="1:2" x14ac:dyDescent="0.25">
      <c r="A10" t="s">
        <v>61</v>
      </c>
      <c r="B10" s="18">
        <f>B9/(1+Assumptions!B26)^(5-0.5*Assumptions!B32)</f>
        <v>5937244606.644065</v>
      </c>
    </row>
    <row r="11" spans="1:2" x14ac:dyDescent="0.25">
      <c r="A11" t="s">
        <v>62</v>
      </c>
      <c r="B11" s="18">
        <f>Forecast!B17+B10</f>
        <v>9613268933.06193</v>
      </c>
    </row>
    <row r="12" spans="1:2" x14ac:dyDescent="0.25">
      <c r="A12" t="s">
        <v>63</v>
      </c>
      <c r="B12" s="18">
        <f>-Assumptions!B30</f>
        <v>-905000000</v>
      </c>
    </row>
    <row r="13" spans="1:2" x14ac:dyDescent="0.25">
      <c r="A13" t="s">
        <v>64</v>
      </c>
      <c r="B13" s="18">
        <f>B11+B12</f>
        <v>8708268933.06193</v>
      </c>
    </row>
    <row r="14" spans="1:2" x14ac:dyDescent="0.25">
      <c r="A14" s="19" t="s">
        <v>65</v>
      </c>
      <c r="B14" s="24">
        <f>B13/Assumptions!B31</f>
        <v>50.336814641976474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1339069732.8978143</v>
      </c>
    </row>
    <row r="18" spans="1:2" x14ac:dyDescent="0.25">
      <c r="A18" t="s">
        <v>60</v>
      </c>
      <c r="B18" s="18">
        <f>B17*Assumptions!B13</f>
        <v>26781394657.956284</v>
      </c>
    </row>
    <row r="19" spans="1:2" x14ac:dyDescent="0.25">
      <c r="A19" t="s">
        <v>61</v>
      </c>
      <c r="B19" s="18">
        <f>B18/(1+Assumptions!B26)^(5-0.5*Assumptions!B32)</f>
        <v>16795862243.94098</v>
      </c>
    </row>
    <row r="20" spans="1:2" x14ac:dyDescent="0.25">
      <c r="A20" t="s">
        <v>62</v>
      </c>
      <c r="B20" s="18">
        <f>Forecast!B17+B19</f>
        <v>20471886570.358845</v>
      </c>
    </row>
    <row r="21" spans="1:2" x14ac:dyDescent="0.25">
      <c r="A21" t="s">
        <v>63</v>
      </c>
      <c r="B21" s="18">
        <f>-Assumptions!B30</f>
        <v>-905000000</v>
      </c>
    </row>
    <row r="22" spans="1:2" x14ac:dyDescent="0.25">
      <c r="A22" t="s">
        <v>64</v>
      </c>
      <c r="B22" s="18">
        <f>B20+B21</f>
        <v>19566886570.358845</v>
      </c>
    </row>
    <row r="23" spans="1:2" x14ac:dyDescent="0.25">
      <c r="A23" s="19" t="s">
        <v>65</v>
      </c>
      <c r="B23" s="25">
        <f>B22/Assumptions!B31</f>
        <v>113.10339058010894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50.336814641976474</v>
      </c>
    </row>
    <row r="29" spans="1:2" x14ac:dyDescent="0.25">
      <c r="A29" s="19" t="s">
        <v>73</v>
      </c>
      <c r="B29" s="12">
        <f>B28/B26-1</f>
        <v>-0.8497408518149956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0.089249</v>
      </c>
      <c r="B5" s="31">
        <v>62.72505839007932</v>
      </c>
      <c r="C5" s="31">
        <v>64.14818093840145</v>
      </c>
      <c r="D5" s="31">
        <v>65.77034510417994</v>
      </c>
      <c r="E5" s="31">
        <v>67.64194202079842</v>
      </c>
      <c r="F5" s="31">
        <v>69.83194054044952</v>
      </c>
    </row>
    <row r="6" spans="1:6" x14ac:dyDescent="0.25">
      <c r="A6" s="30">
        <v>0.099249</v>
      </c>
      <c r="B6" s="31">
        <v>55.19909880486694</v>
      </c>
      <c r="C6" s="31">
        <v>56.063396305097825</v>
      </c>
      <c r="D6" s="31">
        <v>57.02544748888636</v>
      </c>
      <c r="E6" s="31">
        <v>58.106426745080995</v>
      </c>
      <c r="F6" s="31">
        <v>59.334099814566244</v>
      </c>
    </row>
    <row r="7" spans="1:6" x14ac:dyDescent="0.25">
      <c r="A7" s="30">
        <v>0.109249</v>
      </c>
      <c r="B7" s="31">
        <v>49.25992259522202</v>
      </c>
      <c r="C7" s="31">
        <v>49.7756801550503</v>
      </c>
      <c r="D7" s="32">
        <v>50.33687463638978</v>
      </c>
      <c r="E7" s="31">
        <v>50.952106195995334</v>
      </c>
      <c r="F7" s="31">
        <v>51.632291562361516</v>
      </c>
    </row>
    <row r="8" spans="1:6" x14ac:dyDescent="0.25">
      <c r="A8" s="30">
        <v>0.119249</v>
      </c>
      <c r="B8" s="31">
        <v>44.45135228997245</v>
      </c>
      <c r="C8" s="31">
        <v>44.742500667315795</v>
      </c>
      <c r="D8" s="31">
        <v>45.05099192844123</v>
      </c>
      <c r="E8" s="31">
        <v>45.37974087639118</v>
      </c>
      <c r="F8" s="31">
        <v>45.732354263796154</v>
      </c>
    </row>
    <row r="9" spans="1:6" x14ac:dyDescent="0.25">
      <c r="A9" s="30">
        <v>0.129249</v>
      </c>
      <c r="B9" s="31">
        <v>40.47689816038411</v>
      </c>
      <c r="C9" s="31">
        <v>40.61992860709381</v>
      </c>
      <c r="D9" s="31">
        <v>40.76491084771354</v>
      </c>
      <c r="E9" s="31">
        <v>40.91213986666279</v>
      </c>
      <c r="F9" s="31">
        <v>41.0619732451885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5375000000</v>
      </c>
      <c r="C5" s="18">
        <v>4979000000</v>
      </c>
      <c r="D5" s="18">
        <v>5464000000</v>
      </c>
      <c r="E5" s="18">
        <v>5420000000</v>
      </c>
      <c r="F5" s="8" t="s">
        <v>84</v>
      </c>
    </row>
    <row r="6" spans="1:6" x14ac:dyDescent="0.25">
      <c r="A6" t="s">
        <v>44</v>
      </c>
      <c r="B6" s="18">
        <v>876000000</v>
      </c>
      <c r="C6" s="18">
        <v>833000000</v>
      </c>
      <c r="D6" s="18">
        <v>1358000000</v>
      </c>
      <c r="E6" s="18">
        <v>1334000000</v>
      </c>
      <c r="F6" s="8" t="s">
        <v>85</v>
      </c>
    </row>
    <row r="7" spans="1:6" x14ac:dyDescent="0.25">
      <c r="A7" t="s">
        <v>86</v>
      </c>
      <c r="B7" s="18">
        <v>276000000</v>
      </c>
      <c r="C7" s="18">
        <v>270000000</v>
      </c>
      <c r="D7" s="18">
        <v>212000000</v>
      </c>
      <c r="E7" s="18">
        <v>223000000</v>
      </c>
      <c r="F7" s="8" t="s">
        <v>87</v>
      </c>
    </row>
    <row r="8" spans="1:6" x14ac:dyDescent="0.25">
      <c r="A8" t="s">
        <v>88</v>
      </c>
      <c r="B8" s="18">
        <v>128000000</v>
      </c>
      <c r="C8" s="18">
        <v>154000000</v>
      </c>
      <c r="D8" s="18">
        <v>197000000</v>
      </c>
      <c r="E8" s="18">
        <v>185000000</v>
      </c>
      <c r="F8" s="8" t="s">
        <v>89</v>
      </c>
    </row>
    <row r="9" spans="1:6" x14ac:dyDescent="0.25">
      <c r="A9" t="s">
        <v>90</v>
      </c>
      <c r="B9" s="18">
        <v>-302000000</v>
      </c>
      <c r="C9" s="18">
        <v>271000000</v>
      </c>
      <c r="D9" s="18">
        <v>126000000</v>
      </c>
      <c r="E9" s="18">
        <v>404000000</v>
      </c>
      <c r="F9" s="8" t="s">
        <v>91</v>
      </c>
    </row>
    <row r="10" spans="1:6" x14ac:dyDescent="0.25">
      <c r="A10" t="s">
        <v>92</v>
      </c>
      <c r="B10" s="18">
        <v>2778000000</v>
      </c>
      <c r="C10" s="18">
        <v>2030000000</v>
      </c>
      <c r="D10" s="18">
        <v>2026000000</v>
      </c>
      <c r="E10" s="18">
        <v>2018000000</v>
      </c>
      <c r="F10" s="8" t="s">
        <v>93</v>
      </c>
    </row>
    <row r="11" spans="1:6" x14ac:dyDescent="0.25">
      <c r="A11" t="s">
        <v>94</v>
      </c>
      <c r="B11" s="18">
        <v>1873000000</v>
      </c>
      <c r="C11" s="18">
        <v>1796000000</v>
      </c>
      <c r="D11" s="18">
        <v>2472000000</v>
      </c>
      <c r="E11" s="18">
        <v>2042000000</v>
      </c>
      <c r="F11" s="8" t="s">
        <v>95</v>
      </c>
    </row>
    <row r="12" spans="1:6" x14ac:dyDescent="0.25">
      <c r="A12" t="s">
        <v>32</v>
      </c>
      <c r="B12" s="34">
        <v>173000000</v>
      </c>
      <c r="C12" s="34">
        <v>175000000</v>
      </c>
      <c r="D12" s="34">
        <v>179000000</v>
      </c>
      <c r="E12" s="34">
        <v>182000000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2026-09-19T01:06:06Z</dcterms:modified>
</cp:coreProperties>
</file>