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<sst xmlns="http://schemas.openxmlformats.org/spreadsheetml/2006/main" count="112" uniqueCount="100">
  <si>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Kingfisher plc (KGF.L)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</si>
  <si>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</si>
  <si>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</si>
  <si>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</si>
  <si>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</si>
  <si>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</si>
  <si>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</si>
  <si>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</si>
  <si>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</si>
  <si>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</si>
  <si>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</si>
  <si>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</si>
  <si>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</si>
  <si>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</si>
  <si>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</si>
  <si>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</si>
  <si>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</si>
  <si>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</si>
  <si>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</si>
  <si>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</si>
  <si>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</si>
  <si>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</si>
  <si>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</si>
  <si>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</si>
  <si>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</si>
  <si>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</si>
  <si>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</si>
  <si>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</si>
  <si>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</si>
  <si>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</si>
  <si>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2026-01-31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</si>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</sst>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-0.0029183792395022223</v>
      </c>
    </row>
    <row r="7" spans="1:2" x14ac:dyDescent="0.25">
      <c r="A7" t="s">
        <v>5</v>
      </c>
      <c r="B7" s="6">
        <v>0.04278640613719135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0.04919761519069946</v>
      </c>
    </row>
    <row r="10" spans="1:2" x14ac:dyDescent="0.25">
      <c r="A10" t="s">
        <v>8</v>
      </c>
      <c r="B10" s="6">
        <v>0.029839415274902692</v>
      </c>
    </row>
    <row r="11" spans="1:2" x14ac:dyDescent="0.25">
      <c r="A11" t="s">
        <v>9</v>
      </c>
      <c r="B11" s="6">
        <v>0.5306122448979592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5.845856109965636</v>
      </c>
    </row>
    <row r="14" spans="1:3" x14ac:dyDescent="0.25">
      <c r="A14" t="s">
        <v>12</v>
      </c>
      <c r="B14" s="6">
        <v>0.08380512037128832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1.08777</v>
      </c>
      <c r="C19" s="8" t="s">
        <v>19</v>
      </c>
    </row>
    <row r="20" spans="1:2" x14ac:dyDescent="0.25">
      <c r="A20" t="s">
        <v>20</v>
      </c>
      <c r="B20" s="10">
        <f>B17+B19*B18</f>
        <v>0.10482734999999999</v>
      </c>
    </row>
    <row r="21" spans="1:3" x14ac:dyDescent="0.25">
      <c r="A21" t="s">
        <v>21</v>
      </c>
      <c r="B21" s="6">
        <v>0.05320746620896803</v>
      </c>
      <c r="C21" s="8" t="s">
        <v>22</v>
      </c>
    </row>
    <row r="22" spans="1:2" x14ac:dyDescent="0.25">
      <c r="A22" t="s">
        <v>23</v>
      </c>
      <c r="B22" s="11">
        <v>4888576512</v>
      </c>
    </row>
    <row r="23" spans="1:2" x14ac:dyDescent="0.25">
      <c r="A23" t="s">
        <v>24</v>
      </c>
      <c r="B23" s="11">
        <v>2341000000</v>
      </c>
    </row>
    <row r="24" spans="1:2" x14ac:dyDescent="0.25">
      <c r="A24" t="s">
        <v>25</v>
      </c>
      <c r="B24" s="10">
        <f>B22/(B22+B23)</f>
        <v>0.6761912684492245</v>
      </c>
    </row>
    <row r="25" spans="1:2" x14ac:dyDescent="0.25">
      <c r="A25" t="s">
        <v>26</v>
      </c>
      <c r="B25" s="10">
        <f>1-B24</f>
        <v>0.3238087315507755</v>
      </c>
    </row>
    <row r="26" spans="1:2" x14ac:dyDescent="0.25">
      <c r="A26" t="s">
        <v>27</v>
      </c>
      <c r="B26" s="12">
        <f>B24*B20+B25*B21*(1-B8)</f>
        <v>0.08380512037128832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12945000000</v>
      </c>
      <c r="C29" s="8" t="s">
        <v>30</v>
      </c>
    </row>
    <row r="30" spans="1:2" x14ac:dyDescent="0.25">
      <c r="A30" t="s">
        <v>31</v>
      </c>
      <c r="B30" s="11">
        <v>1916000000</v>
      </c>
    </row>
    <row r="31" spans="1:2" x14ac:dyDescent="0.25">
      <c r="A31" t="s">
        <v>32</v>
      </c>
      <c r="B31" s="13">
        <v>1776000000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-0.0029183792395022223</v>
      </c>
      <c r="C5" s="10">
        <f>Assumptions!B6</f>
        <v>-0.0029183792395022223</v>
      </c>
      <c r="D5" s="10">
        <f>Assumptions!B6</f>
        <v>-0.0029183792395022223</v>
      </c>
      <c r="E5" s="10">
        <f>Assumptions!B6</f>
        <v>-0.0029183792395022223</v>
      </c>
      <c r="F5" s="10">
        <f>Assumptions!B6</f>
        <v>-0.0029183792395022223</v>
      </c>
    </row>
    <row r="6" spans="1:6" x14ac:dyDescent="0.25">
      <c r="A6" t="s">
        <v>43</v>
      </c>
      <c r="B6" s="18">
        <f>Assumptions!B29*(1+B5)</f>
        <v>12907221580.744644</v>
      </c>
      <c r="C6" s="18">
        <f>B6*(1+C5)</f>
        <v>12869553413.243744</v>
      </c>
      <c r="D6" s="18">
        <f>C6*(1+D5)</f>
        <v>12831995175.740868</v>
      </c>
      <c r="E6" s="18">
        <f>D6*(1+E5)</f>
        <v>12794546547.418592</v>
      </c>
      <c r="F6" s="18">
        <f>E6*(1+F5)</f>
        <v>12757207208.395761</v>
      </c>
    </row>
    <row r="7" spans="1:6" x14ac:dyDescent="0.25">
      <c r="A7" t="s">
        <v>5</v>
      </c>
      <c r="B7" s="10">
        <f>Assumptions!B7</f>
        <v>0.04278640613719135</v>
      </c>
      <c r="C7" s="10">
        <f>Assumptions!B7</f>
        <v>0.04278640613719135</v>
      </c>
      <c r="D7" s="10">
        <f>Assumptions!B7</f>
        <v>0.04278640613719135</v>
      </c>
      <c r="E7" s="10">
        <f>Assumptions!B7</f>
        <v>0.04278640613719135</v>
      </c>
      <c r="F7" s="10">
        <f>Assumptions!B7</f>
        <v>0.04278640613719135</v>
      </c>
    </row>
    <row r="8" spans="1:6" x14ac:dyDescent="0.25">
      <c r="A8" t="s">
        <v>44</v>
      </c>
      <c r="B8" s="18">
        <f>B6*B7</f>
        <v>552253624.6564612</v>
      </c>
      <c r="C8" s="18">
        <f>C6*C7</f>
        <v>550641939.143324</v>
      </c>
      <c r="D8" s="18">
        <f>D6*D7</f>
        <v>549034957.1397288</v>
      </c>
      <c r="E8" s="18">
        <f>E6*E7</f>
        <v>547432664.9190513</v>
      </c>
      <c r="F8" s="18">
        <f>F6*F7</f>
        <v>545835048.7947261</v>
      </c>
    </row>
    <row r="9" spans="1:6" x14ac:dyDescent="0.25">
      <c r="A9" t="s">
        <v>45</v>
      </c>
      <c r="B9" s="18">
        <f>B8*(1-Assumptions!B8)</f>
        <v>414190218.4923459</v>
      </c>
      <c r="C9" s="18">
        <f>C8*(1-Assumptions!B8)</f>
        <v>412981454.35749304</v>
      </c>
      <c r="D9" s="18">
        <f>D8*(1-Assumptions!B8)</f>
        <v>411776217.8547966</v>
      </c>
      <c r="E9" s="18">
        <f>E8*(1-Assumptions!B8)</f>
        <v>410574498.6892885</v>
      </c>
      <c r="F9" s="18">
        <f>F8*(1-Assumptions!B8)</f>
        <v>409376286.5960446</v>
      </c>
    </row>
    <row r="10" spans="1:6" x14ac:dyDescent="0.25">
      <c r="A10" t="s">
        <v>46</v>
      </c>
      <c r="B10" s="18">
        <f>B6*Assumptions!B9</f>
        <v>635004520.5105666</v>
      </c>
      <c r="C10" s="18">
        <f>C6*Assumptions!B9</f>
        <v>633151336.5009185</v>
      </c>
      <c r="D10" s="18">
        <f>D6*Assumptions!B9</f>
        <v>631303560.7850112</v>
      </c>
      <c r="E10" s="18">
        <f>E6*Assumptions!B9</f>
        <v>629461177.5793923</v>
      </c>
      <c r="F10" s="18">
        <f>F6*Assumptions!B9</f>
        <v>627624171.146672</v>
      </c>
    </row>
    <row r="11" spans="1:6" x14ac:dyDescent="0.25">
      <c r="A11" t="s">
        <v>47</v>
      </c>
      <c r="B11" s="18">
        <f>-B6*Assumptions!B10</f>
        <v>-385143944.79302543</v>
      </c>
      <c r="C11" s="18">
        <f>-C6*Assumptions!B10</f>
        <v>-384019948.70032144</v>
      </c>
      <c r="D11" s="18">
        <f>-D6*Assumptions!B10</f>
        <v>-382899232.8544797</v>
      </c>
      <c r="E11" s="18">
        <f>-E6*Assumptions!B10</f>
        <v>-381781787.68249583</v>
      </c>
      <c r="F11" s="18">
        <f>-F6*Assumptions!B10</f>
        <v>-380667603.6393032</v>
      </c>
    </row>
    <row r="12" spans="1:6" x14ac:dyDescent="0.25">
      <c r="A12" t="s">
        <v>48</v>
      </c>
      <c r="B12" s="18">
        <f>-(B6-Assumptions!B29)*Assumptions!B11</f>
        <v>20045691.84978065</v>
      </c>
      <c r="C12" s="18">
        <f>-(C6-B6)*Assumptions!B11</f>
        <v>19987190.918845043</v>
      </c>
      <c r="D12" s="18">
        <f>-(D6-C6)*Assumptions!B11</f>
        <v>19928860.715811905</v>
      </c>
      <c r="E12" s="18">
        <f>-(E6-D6)*Assumptions!B11</f>
        <v>19870700.74243172</v>
      </c>
      <c r="F12" s="18">
        <f>-(F6-E6)*Assumptions!B11</f>
        <v>19812710.501910307</v>
      </c>
    </row>
    <row r="13" spans="1:6" x14ac:dyDescent="0.25">
      <c r="A13" s="19" t="s">
        <v>49</v>
      </c>
      <c r="B13" s="20">
        <f>B9+B10+B11+B12</f>
        <v>684096486.0596677</v>
      </c>
      <c r="C13" s="20">
        <f>C9+C10+C11+C12</f>
        <v>682100033.0769352</v>
      </c>
      <c r="D13" s="20">
        <f>D9+D10+D11+D12</f>
        <v>680109406.5011399</v>
      </c>
      <c r="E13" s="20">
        <f>E9+E10+E11+E12</f>
        <v>678124589.3286167</v>
      </c>
      <c r="F13" s="20">
        <f>F9+F10+F11+F12</f>
        <v>676145564.6053237</v>
      </c>
    </row>
    <row r="14" spans="1:6" x14ac:dyDescent="0.25">
      <c r="A14" t="s">
        <v>50</v>
      </c>
      <c r="B14" s="21">
        <f>1/(1+Assumptions!$B$26)^(1-0.5*Assumptions!$B$32)</f>
        <v>0.9605597857563426</v>
      </c>
      <c r="C14" s="21">
        <f>1/(1+Assumptions!$B$26)^(2-0.5*Assumptions!$B$32)</f>
        <v>0.8862845983116184</v>
      </c>
      <c r="D14" s="21">
        <f>1/(1+Assumptions!$B$26)^(3-0.5*Assumptions!$B$32)</f>
        <v>0.8177527321590771</v>
      </c>
      <c r="E14" s="21">
        <f>1/(1+Assumptions!$B$26)^(4-0.5*Assumptions!$B$32)</f>
        <v>0.7545200855656895</v>
      </c>
      <c r="F14" s="21">
        <f>1/(1+Assumptions!$B$26)^(5-0.5*Assumptions!$B$32)</f>
        <v>0.69617689691963</v>
      </c>
    </row>
    <row r="15" spans="1:6" x14ac:dyDescent="0.25">
      <c r="A15" s="19" t="s">
        <v>51</v>
      </c>
      <c r="B15" s="20">
        <f>B13*B14</f>
        <v>657115574.0861412</v>
      </c>
      <c r="C15" s="20">
        <f>C13*C14</f>
        <v>604534753.8239331</v>
      </c>
      <c r="D15" s="20">
        <f>D13*D14</f>
        <v>556161325.3333955</v>
      </c>
      <c r="E15" s="20">
        <f>E13*E14</f>
        <v>511658623.16442597</v>
      </c>
      <c r="F15" s="20">
        <f>F13*F14</f>
        <v>470716921.03290546</v>
      </c>
    </row>
    <row r="17" spans="1:2" x14ac:dyDescent="0.25">
      <c r="A17" s="22" t="s">
        <v>52</v>
      </c>
      <c r="B17" s="23">
        <f>SUM(B15:F15)</f>
        <v>2800187197.440801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676145564.6053237</v>
      </c>
    </row>
    <row r="5" spans="1:2" x14ac:dyDescent="0.25">
      <c r="A5" t="s">
        <v>56</v>
      </c>
      <c r="B5" s="18">
        <f>IF(Assumptions!$B$33=0,B4,B4-Forecast!F11-Forecast!F10-Forecast!F12)</f>
        <v>492812124.6187148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0.29831112811771604</v>
      </c>
    </row>
    <row r="7" spans="1:2" x14ac:dyDescent="0.25">
      <c r="A7" t="s">
        <v>58</v>
      </c>
      <c r="B7" s="18">
        <f>-MAX(Forecast!F9,0)*B6</f>
        <v>-147011340.84509727</v>
      </c>
    </row>
    <row r="8" spans="1:2" x14ac:dyDescent="0.25">
      <c r="A8" t="s">
        <v>59</v>
      </c>
      <c r="B8" s="18">
        <f>IF(OR(Assumptions!$B$33=0,Assumptions!B12&lt;=0),B5,MAX(B5+B7,0))</f>
        <v>345800783.7736175</v>
      </c>
    </row>
    <row r="9" spans="1:2" x14ac:dyDescent="0.25">
      <c r="A9" t="s">
        <v>60</v>
      </c>
      <c r="B9" s="18">
        <f>B8*(1+Assumptions!B12)/(Assumptions!B26-Assumptions!B12)</f>
        <v>6027464974.648986</v>
      </c>
    </row>
    <row r="10" spans="1:2" x14ac:dyDescent="0.25">
      <c r="A10" t="s">
        <v>61</v>
      </c>
      <c r="B10" s="18">
        <f>B9/(1+Assumptions!B26)^(5-0.5*Assumptions!B32)</f>
        <v>4196181862.3428874</v>
      </c>
    </row>
    <row r="11" spans="1:2" x14ac:dyDescent="0.25">
      <c r="A11" t="s">
        <v>62</v>
      </c>
      <c r="B11" s="18">
        <f>Forecast!B17+B10</f>
        <v>6996369059.783689</v>
      </c>
    </row>
    <row r="12" spans="1:2" x14ac:dyDescent="0.25">
      <c r="A12" t="s">
        <v>63</v>
      </c>
      <c r="B12" s="18">
        <f>-Assumptions!B30</f>
        <v>-1916000000</v>
      </c>
    </row>
    <row r="13" spans="1:2" x14ac:dyDescent="0.25">
      <c r="A13" t="s">
        <v>64</v>
      </c>
      <c r="B13" s="18">
        <f>B11+B12</f>
        <v>5080369059.783689</v>
      </c>
    </row>
    <row r="14" spans="1:2" x14ac:dyDescent="0.25">
      <c r="A14" s="19" t="s">
        <v>65</v>
      </c>
      <c r="B14" s="24">
        <f>B13/Assumptions!B31</f>
        <v>2.8605681642926175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1173459219.9413981</v>
      </c>
    </row>
    <row r="18" spans="1:2" x14ac:dyDescent="0.25">
      <c r="A18" t="s">
        <v>60</v>
      </c>
      <c r="B18" s="18">
        <f>B17*Assumptions!B13</f>
        <v>6859873750.689932</v>
      </c>
    </row>
    <row r="19" spans="1:2" x14ac:dyDescent="0.25">
      <c r="A19" t="s">
        <v>61</v>
      </c>
      <c r="B19" s="18">
        <f>B18/(1+Assumptions!B26)^(5-0.5*Assumptions!B32)</f>
        <v>4775685621.01574</v>
      </c>
    </row>
    <row r="20" spans="1:2" x14ac:dyDescent="0.25">
      <c r="A20" t="s">
        <v>62</v>
      </c>
      <c r="B20" s="18">
        <f>Forecast!B17+B19</f>
        <v>7575872818.456541</v>
      </c>
    </row>
    <row r="21" spans="1:2" x14ac:dyDescent="0.25">
      <c r="A21" t="s">
        <v>63</v>
      </c>
      <c r="B21" s="18">
        <f>-Assumptions!B30</f>
        <v>-1916000000</v>
      </c>
    </row>
    <row r="22" spans="1:2" x14ac:dyDescent="0.25">
      <c r="A22" t="s">
        <v>64</v>
      </c>
      <c r="B22" s="18">
        <f>B20+B21</f>
        <v>5659872818.456541</v>
      </c>
    </row>
    <row r="23" spans="1:2" x14ac:dyDescent="0.25">
      <c r="A23" s="19" t="s">
        <v>65</v>
      </c>
      <c r="B23" s="25">
        <f>B22/Assumptions!B31</f>
        <v>3.1868653257075117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301.8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286.05681642926174</v>
      </c>
    </row>
    <row r="29" spans="1:2" x14ac:dyDescent="0.25">
      <c r="A29" s="19" t="s">
        <v>73</v>
      </c>
      <c r="B29" s="12">
        <f>B28/B26-1</f>
        <v>-0.05216429281225399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0.063805</v>
      </c>
      <c r="B5" s="31">
        <v>3.9101902711805847</v>
      </c>
      <c r="C5" s="31">
        <v>3.9266519677239087</v>
      </c>
      <c r="D5" s="31">
        <v>3.9431136642672286</v>
      </c>
      <c r="E5" s="31">
        <v>3.9595753608105504</v>
      </c>
      <c r="F5" s="31">
        <v>3.9760370573538726</v>
      </c>
    </row>
    <row r="6" spans="1:6" x14ac:dyDescent="0.25">
      <c r="A6" s="30">
        <v>0.073805</v>
      </c>
      <c r="B6" s="31">
        <v>3.302307337062155</v>
      </c>
      <c r="C6" s="31">
        <v>3.315951856494502</v>
      </c>
      <c r="D6" s="31">
        <v>3.329596375926847</v>
      </c>
      <c r="E6" s="31">
        <v>3.343240895359194</v>
      </c>
      <c r="F6" s="31">
        <v>3.3568854147915377</v>
      </c>
    </row>
    <row r="7" spans="1:6" x14ac:dyDescent="0.25">
      <c r="A7" s="30">
        <v>0.083805</v>
      </c>
      <c r="B7" s="31">
        <v>2.837522224633715</v>
      </c>
      <c r="C7" s="31">
        <v>2.8490476860340253</v>
      </c>
      <c r="D7" s="32">
        <v>2.8605731474343346</v>
      </c>
      <c r="E7" s="31">
        <v>2.8720986088346443</v>
      </c>
      <c r="F7" s="31">
        <v>2.8836240702349527</v>
      </c>
    </row>
    <row r="8" spans="1:6" x14ac:dyDescent="0.25">
      <c r="A8" s="30">
        <v>0.093805</v>
      </c>
      <c r="B8" s="31">
        <v>2.4701690728024395</v>
      </c>
      <c r="C8" s="31">
        <v>2.480048980107974</v>
      </c>
      <c r="D8" s="31">
        <v>2.4899288874135075</v>
      </c>
      <c r="E8" s="31">
        <v>2.4998087947190424</v>
      </c>
      <c r="F8" s="31">
        <v>2.509688702024577</v>
      </c>
    </row>
    <row r="9" spans="1:6" x14ac:dyDescent="0.25">
      <c r="A9" s="30">
        <v>0.103805</v>
      </c>
      <c r="B9" s="31">
        <v>2.172172912820046</v>
      </c>
      <c r="C9" s="31">
        <v>2.1807427890134474</v>
      </c>
      <c r="D9" s="31">
        <v>2.189312665206849</v>
      </c>
      <c r="E9" s="31">
        <v>2.19788254140025</v>
      </c>
      <c r="F9" s="31">
        <v>2.2064524175936517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12945000000</v>
      </c>
      <c r="C5" s="18">
        <v>12784000000</v>
      </c>
      <c r="D5" s="18">
        <v>12980000000</v>
      </c>
      <c r="E5" s="18">
        <v>13059000000</v>
      </c>
      <c r="F5" s="8" t="s">
        <v>84</v>
      </c>
    </row>
    <row r="6" spans="1:6" x14ac:dyDescent="0.25">
      <c r="A6" t="s">
        <v>44</v>
      </c>
      <c r="B6" s="18">
        <v>497000000</v>
      </c>
      <c r="C6" s="18">
        <v>422000000</v>
      </c>
      <c r="D6" s="18">
        <v>581000000</v>
      </c>
      <c r="E6" s="18">
        <v>718000000</v>
      </c>
      <c r="F6" s="8" t="s">
        <v>85</v>
      </c>
    </row>
    <row r="7" spans="1:6" x14ac:dyDescent="0.25">
      <c r="A7" t="s">
        <v>86</v>
      </c>
      <c r="B7" s="18">
        <v>667000000</v>
      </c>
      <c r="C7" s="18">
        <v>656000000</v>
      </c>
      <c r="D7" s="18">
        <v>641000000</v>
      </c>
      <c r="E7" s="18">
        <v>582000000</v>
      </c>
      <c r="F7" s="8" t="s">
        <v>87</v>
      </c>
    </row>
    <row r="8" spans="1:6" x14ac:dyDescent="0.25">
      <c r="A8" t="s">
        <v>88</v>
      </c>
      <c r="B8" s="18">
        <v>401000000</v>
      </c>
      <c r="C8" s="18">
        <v>322000000</v>
      </c>
      <c r="D8" s="18">
        <v>367000000</v>
      </c>
      <c r="E8" s="18">
        <v>456000000</v>
      </c>
      <c r="F8" s="8" t="s">
        <v>89</v>
      </c>
    </row>
    <row r="9" spans="1:6" x14ac:dyDescent="0.25">
      <c r="A9" t="s">
        <v>90</v>
      </c>
      <c r="B9" s="18">
        <v>-97000000</v>
      </c>
      <c r="C9" s="18">
        <v>-104000000</v>
      </c>
      <c r="D9" s="18">
        <v>-116000000</v>
      </c>
      <c r="E9" s="18">
        <v>488000000</v>
      </c>
      <c r="F9" s="8" t="s">
        <v>91</v>
      </c>
    </row>
    <row r="10" spans="1:6" x14ac:dyDescent="0.25">
      <c r="A10" t="s">
        <v>92</v>
      </c>
      <c r="B10" s="18">
        <v>2341000000</v>
      </c>
      <c r="C10" s="18">
        <v>2320000000</v>
      </c>
      <c r="D10" s="18">
        <v>2476000000</v>
      </c>
      <c r="E10" s="18">
        <v>2562000000</v>
      </c>
      <c r="F10" s="8" t="s">
        <v>93</v>
      </c>
    </row>
    <row r="11" spans="1:6" x14ac:dyDescent="0.25">
      <c r="A11" t="s">
        <v>94</v>
      </c>
      <c r="B11" s="18">
        <v>425000000</v>
      </c>
      <c r="C11" s="18">
        <v>297000000</v>
      </c>
      <c r="D11" s="18">
        <v>319000000</v>
      </c>
      <c r="E11" s="18">
        <v>235000000</v>
      </c>
      <c r="F11" s="8" t="s">
        <v>95</v>
      </c>
    </row>
    <row r="12" spans="1:6" x14ac:dyDescent="0.25">
      <c r="A12" t="s">
        <v>32</v>
      </c>
      <c r="B12" s="34">
        <v>1776000000</v>
      </c>
      <c r="C12" s="34">
        <v>1867000000</v>
      </c>
      <c r="D12" s="34">
        <v>1921000000</v>
      </c>
      <c r="E12" s="34">
        <v>2002000000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