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<sst xmlns="http://schemas.openxmlformats.org/spreadsheetml/2006/main" count="119" uniqueCount="106">
  <si>
    <t>The Kraft Heinz Company (KHC)</t>
  </si>
  <si>
    <t>DCF Studio - Base case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</si>
  <si>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</si>
  <si>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</si>
  <si>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</si>
  <si>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</si>
  <si>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</si>
  <si>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</si>
  <si>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Year 1. Fades to the steady state by the final year</t>
  </si>
  <si>
    <t>Change in working capital, % of revenue growth</t>
  </si>
  <si>
    <t>Terminal growth</t>
  </si>
  <si>
    <t>Exit EV/EBITDA</t>
  </si>
  <si>
    <t>Terminal ROIC</t>
  </si>
  <si>
    <t>From reported invested capital</t>
  </si>
  <si>
    <t>Depreciation alone, % of revenue</t>
  </si>
  <si>
    <t>The rest of D&amp;A is amortisation of acquired intangibles, which runs off</t>
  </si>
  <si>
    <t>Discount rate</t>
  </si>
  <si>
    <t>Risk-free rate</t>
  </si>
  <si>
    <t>US 10-year Treasury (^TNX), 2026-11-02</t>
  </si>
  <si>
    <t>Equity risk premium</t>
  </si>
  <si>
    <t>Beta</t>
  </si>
  <si>
    <t>As reported</t>
  </si>
  <si>
    <t>Cost of equity</t>
  </si>
  <si>
    <t>Cost of debt</t>
  </si>
  <si>
    <t>Risk-free + 78bp, the spread for a A rating at 4.9x interest cover. Book interest / average debt was lower, at 4.6%.</t>
  </si>
  <si>
    <t>Market capitalisation (USD m)</t>
  </si>
  <si>
    <t>Total debt (USD m)</t>
  </si>
  <si>
    <t>Equity weight</t>
  </si>
  <si>
    <t>Debt weight</t>
  </si>
  <si>
    <t>WACC</t>
  </si>
  <si>
    <t>Base year</t>
  </si>
  <si>
    <t>Revenue, last reported year (USD m)</t>
  </si>
  <si>
    <t>Fiscal year ended 2025-12-31</t>
  </si>
  <si>
    <t>Net debt (USD m)</t>
  </si>
  <si>
    <t>Diluted shares</t>
  </si>
  <si>
    <t>Mid-year discounting (1 = yes, 0 = no)</t>
  </si>
  <si>
    <t>Terminal year on a steady-state footing (1 = yes, 0 = no)</t>
  </si>
  <si>
    <t>Forecast cashflows (USD m)</t>
  </si>
  <si>
    <t>Every figure below is a formula. Edit the drivers on Assumptions.</t>
  </si>
  <si>
    <t>Year</t>
  </si>
  <si>
    <t>FY26</t>
  </si>
  <si>
    <t>FY27</t>
  </si>
  <si>
    <t>FY28</t>
  </si>
  <si>
    <t>FY29</t>
  </si>
  <si>
    <t>FY30</t>
  </si>
  <si>
    <t>FY31</t>
  </si>
  <si>
    <t>FY32</t>
  </si>
  <si>
    <t>FY33</t>
  </si>
  <si>
    <t>FY34</t>
  </si>
  <si>
    <t>FY35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</si>
  <si>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</si>
  <si>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</si>
  <si>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</si>
  <si>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</si>
  <si>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</si>
  <si>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</si>
  <si>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</si>
  <si>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</si>
  <si>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</si>
  <si>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</si>
  <si>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Steady-state capital expenditure, % of revenue</t>
  </si>
  <si>
    <t>Valuation (USD m, except per share)</t>
  </si>
  <si>
    <t>Terminal value - perpetuity growth</t>
  </si>
  <si>
    <t>Final year free cashflow</t>
  </si>
  <si>
    <t>Operating profit before amortisation, after tax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</si>
  <si>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</si>
  <si>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</si>
  <si>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</si>
  <si>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</si>
  <si>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</si>
  <si>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</si>
  <si>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</si>
  <si>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</si>
  <si>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</si>
  <si>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</si>
  <si>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</si>
  <si>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</si>
  <si>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(USD)</t>
  </si>
  <si>
    <t>Conversion, USD to USD</t>
  </si>
  <si>
    <t>Same currency, no conversion</t>
  </si>
  <si>
    <t>Value per share (USD)</t>
  </si>
  <si>
    <t>Implied upside</t>
  </si>
  <si>
    <t>Value per share (USD)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</si>
  <si>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</si>
  <si>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(USD m, except shares)</t>
  </si>
  <si>
    <t>Fiscal year end</t>
  </si>
  <si>
    <t>2025-12-31</t>
  </si>
  <si>
    <t>2024-12-31</t>
  </si>
  <si>
    <t>2023-12-31</t>
  </si>
  <si>
    <t>2022-12-31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</si>
  <si>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</si>
  <si>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</si>
  <si>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</si>
  <si>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</si>
  <si>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</si>
  <si>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</si>
  <si>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</si>
  <si>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</si>
  <si>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</si>
  <si>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</si>
  <si>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</si>
  <si>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</si>
  <si>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</si>
  <si>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</si>
  <si>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</si>
  <si>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Data: Yahoo Finance. Risk-free rate: US 10-year Treasury (^TNX), 2026-11-02.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</si>
</sst>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i/>
      <color rgb="FF666666"/>
      <sz val="9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/>
    <xf numFmtId="0" fontId="0" fillId="0" borderId="1" xfId="0" applyBorder="1"/>
    <xf numFmtId="10" fontId="4" fillId="2" borderId="0" xfId="0" applyNumberFormat="1" applyFont="1" applyFill="1"/>
    <xf numFmtId="0" fontId="5" fillId="0" borderId="0" xfId="0" applyFont="1" applyAlignment="1">
      <alignment indent="1"/>
    </xf>
    <xf numFmtId="164" fontId="4" fillId="2" borderId="0" xfId="0" applyNumberFormat="1" applyFont="1" applyFill="1"/>
    <xf numFmtId="165" fontId="4" fillId="2" borderId="0" xfId="0" applyNumberFormat="1" applyFont="1" applyFill="1"/>
    <xf numFmtId="10" fontId="0" fillId="0" borderId="0" xfId="0" applyNumberFormat="1"/>
    <xf numFmtId="166" fontId="4" fillId="2" borderId="0" xfId="0" applyNumberFormat="1" applyFont="1" applyFill="1"/>
    <xf numFmtId="10" fontId="6" fillId="0" borderId="0" xfId="0" applyNumberFormat="1" applyFont="1"/>
    <xf numFmtId="3" fontId="4" fillId="2" borderId="0" xfId="0" applyNumberFormat="1" applyFont="1" applyFill="1"/>
    <xf numFmtId="1" fontId="4" fillId="2" borderId="0" xfId="0" applyNumberFormat="1" applyFont="1" applyFill="1"/>
    <xf numFmtId="0" fontId="7" fillId="0" borderId="0" xfId="0" applyFont="1"/>
    <xf numFmtId="0" fontId="8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right"/>
    </xf>
    <xf numFmtId="166" fontId="0" fillId="0" borderId="0" xfId="0" applyNumberFormat="1"/>
    <xf numFmtId="0" fontId="6" fillId="0" borderId="0" xfId="0" applyFont="1"/>
    <xf numFmtId="166" fontId="6" fillId="0" borderId="0" xfId="0" applyNumberFormat="1" applyFont="1"/>
    <xf numFmtId="167" fontId="0" fillId="0" borderId="0" xfId="0" applyNumberFormat="1"/>
    <xf numFmtId="0" fontId="6" fillId="0" borderId="2" xfId="0" applyFont="1" applyBorder="1"/>
    <xf numFmtId="166" fontId="6" fillId="0" borderId="3" xfId="0" applyNumberFormat="1" applyFont="1" applyBorder="1"/>
    <xf numFmtId="168" fontId="7" fillId="0" borderId="0" xfId="0" applyNumberFormat="1" applyFont="1"/>
    <xf numFmtId="168" fontId="6" fillId="0" borderId="0" xfId="0" applyNumberFormat="1" applyFont="1"/>
    <xf numFmtId="168" fontId="4" fillId="2" borderId="0" xfId="0" applyNumberFormat="1" applyFont="1" applyFill="1"/>
    <xf numFmtId="167" fontId="4" fillId="2" borderId="0" xfId="0" applyNumberFormat="1" applyFont="1" applyFill="1"/>
    <xf numFmtId="168" fontId="0" fillId="0" borderId="0" xfId="0" applyNumberFormat="1"/>
    <xf numFmtId="10" fontId="6" fillId="0" borderId="1" xfId="0" applyNumberFormat="1" applyFont="1" applyBorder="1" applyAlignment="1">
      <alignment horizontal="right"/>
    </xf>
    <xf numFmtId="10" fontId="6" fillId="0" borderId="4" xfId="0" applyNumberFormat="1" applyFont="1" applyBorder="1"/>
    <xf numFmtId="168" fontId="0" fillId="0" borderId="0" xfId="0" applyNumberFormat="1" applyAlignment="1">
      <alignment horizontal="right"/>
    </xf>
    <xf numFmtId="168" fontId="6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5" spans="1:3" x14ac:dyDescent="0.25">
      <c r="A5" s="3" t="s">
        <v>2</v>
      </c>
      <c r="B5" s="4"/>
      <c r="C5" s="4"/>
    </row>
    <row r="6" spans="1:2" x14ac:dyDescent="0.25">
      <c r="A6" t="s">
        <v>3</v>
      </c>
      <c r="B6" s="5">
        <v>-0.01233295846363558</v>
      </c>
    </row>
    <row r="7" spans="1:2" x14ac:dyDescent="0.25">
      <c r="A7" t="s">
        <v>4</v>
      </c>
      <c r="B7" s="5">
        <v>0.1902843827664812</v>
      </c>
    </row>
    <row r="8" spans="1:2" x14ac:dyDescent="0.25">
      <c r="A8" t="s">
        <v>5</v>
      </c>
      <c r="B8" s="5">
        <v>0.20912185983767959</v>
      </c>
    </row>
    <row r="9" spans="1:2" x14ac:dyDescent="0.25">
      <c r="A9" t="s">
        <v>6</v>
      </c>
      <c r="B9" s="5">
        <v>0.03669747246909197</v>
      </c>
    </row>
    <row r="10" spans="1:3" x14ac:dyDescent="0.25">
      <c r="A10" t="s">
        <v>7</v>
      </c>
      <c r="B10" s="5">
        <v>0.03744040700861287</v>
      </c>
      <c r="C10" s="6" t="s">
        <v>8</v>
      </c>
    </row>
    <row r="11" spans="1:2" x14ac:dyDescent="0.25">
      <c r="A11" t="s">
        <v>9</v>
      </c>
      <c r="B11" s="5">
        <v>0.04293864016771161</v>
      </c>
    </row>
    <row r="12" spans="1:2" x14ac:dyDescent="0.25">
      <c r="A12" t="s">
        <v>10</v>
      </c>
      <c r="B12" s="5">
        <v>0.025</v>
      </c>
    </row>
    <row r="13" spans="1:2" x14ac:dyDescent="0.25">
      <c r="A13" t="s">
        <v>11</v>
      </c>
      <c r="B13" s="7">
        <v>8.27956277894737</v>
      </c>
    </row>
    <row r="14" spans="1:3" x14ac:dyDescent="0.25">
      <c r="A14" t="s">
        <v>12</v>
      </c>
      <c r="B14" s="5">
        <v>0.05891515315430493</v>
      </c>
      <c r="C14" s="6" t="s">
        <v>13</v>
      </c>
    </row>
    <row r="15" spans="1:3" x14ac:dyDescent="0.25">
      <c r="A15" t="s">
        <v>14</v>
      </c>
      <c r="B15" s="5">
        <v>0.026975098333381145</v>
      </c>
      <c r="C15" s="6" t="s">
        <v>15</v>
      </c>
    </row>
    <row r="16" spans="1:3" x14ac:dyDescent="0.25">
      <c r="A16" s="3" t="s">
        <v>16</v>
      </c>
      <c r="B16" s="4"/>
      <c r="C16" s="4"/>
    </row>
    <row r="17" spans="1:3" x14ac:dyDescent="0.25">
      <c r="A17" t="s">
        <v>17</v>
      </c>
      <c r="B17" s="5">
        <v>0.048940000000000004</v>
      </c>
      <c r="C17" s="6" t="s">
        <v>18</v>
      </c>
    </row>
    <row r="18" spans="1:2" x14ac:dyDescent="0.25">
      <c r="A18" t="s">
        <v>19</v>
      </c>
      <c r="B18" s="5">
        <v>0.0423</v>
      </c>
    </row>
    <row r="19" spans="1:3" x14ac:dyDescent="0.25">
      <c r="A19" t="s">
        <v>20</v>
      </c>
      <c r="B19" s="8">
        <v>0.40436999999999995</v>
      </c>
      <c r="C19" s="6" t="s">
        <v>21</v>
      </c>
    </row>
    <row r="20" spans="1:2" x14ac:dyDescent="0.25">
      <c r="A20" t="s">
        <v>22</v>
      </c>
      <c r="B20" s="9">
        <f>B17+B19*B18</f>
        <v>0.066044851</v>
      </c>
    </row>
    <row r="21" spans="1:3" x14ac:dyDescent="0.25">
      <c r="A21" t="s">
        <v>23</v>
      </c>
      <c r="B21" s="5">
        <v>0.056740000000000006</v>
      </c>
      <c r="C21" s="6" t="s">
        <v>24</v>
      </c>
    </row>
    <row r="22" spans="1:2" x14ac:dyDescent="0.25">
      <c r="A22" t="s">
        <v>25</v>
      </c>
      <c r="B22" s="10">
        <v>28862949376</v>
      </c>
    </row>
    <row r="23" spans="1:2" x14ac:dyDescent="0.25">
      <c r="A23" t="s">
        <v>26</v>
      </c>
      <c r="B23" s="10">
        <v>21219000000</v>
      </c>
    </row>
    <row r="24" spans="1:2" x14ac:dyDescent="0.25">
      <c r="A24" t="s">
        <v>27</v>
      </c>
      <c r="B24" s="9">
        <f>B22/(B22+B23)</f>
        <v>0.5763144153855869</v>
      </c>
    </row>
    <row r="25" spans="1:2" x14ac:dyDescent="0.25">
      <c r="A25" t="s">
        <v>28</v>
      </c>
      <c r="B25" s="9">
        <f>1-B24</f>
        <v>0.4236855846144131</v>
      </c>
    </row>
    <row r="26" spans="1:2" x14ac:dyDescent="0.25">
      <c r="A26" t="s">
        <v>29</v>
      </c>
      <c r="B26" s="11">
        <f>B24*B20+B25*B21*(1-B8)</f>
        <v>0.05707524696871376</v>
      </c>
    </row>
    <row r="28" spans="1:3" x14ac:dyDescent="0.25">
      <c r="A28" s="3" t="s">
        <v>30</v>
      </c>
      <c r="B28" s="4"/>
      <c r="C28" s="4"/>
    </row>
    <row r="29" spans="1:3" x14ac:dyDescent="0.25">
      <c r="A29" t="s">
        <v>31</v>
      </c>
      <c r="B29" s="10">
        <v>24942000000</v>
      </c>
      <c r="C29" s="6" t="s">
        <v>32</v>
      </c>
    </row>
    <row r="30" spans="1:2" x14ac:dyDescent="0.25">
      <c r="A30" t="s">
        <v>33</v>
      </c>
      <c r="B30" s="10">
        <v>17544000000</v>
      </c>
    </row>
    <row r="31" spans="1:2" x14ac:dyDescent="0.25">
      <c r="A31" t="s">
        <v>34</v>
      </c>
      <c r="B31" s="12">
        <v>1187000000</v>
      </c>
    </row>
    <row r="32" spans="1:2" x14ac:dyDescent="0.25">
      <c r="A32" t="s">
        <v>35</v>
      </c>
      <c r="B32" s="13">
        <v>1</v>
      </c>
    </row>
    <row r="33" spans="1:2" x14ac:dyDescent="0.25">
      <c r="A33" t="s">
        <v>36</v>
      </c>
      <c r="B33" s="13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0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11" width="15" customWidth="1"/>
  </cols>
  <sheetData>
    <row r="1" spans="1:1" x14ac:dyDescent="0.25">
      <c r="A1" s="14" t="s">
        <v>37</v>
      </c>
    </row>
    <row r="2" spans="1:1" x14ac:dyDescent="0.25">
      <c r="A2" s="15" t="s">
        <v>38</v>
      </c>
    </row>
    <row r="4" spans="1:11" x14ac:dyDescent="0.25">
      <c r="A4" s="16" t="s">
        <v>39</v>
      </c>
      <c r="B4" s="17" t="s">
        <v>40</v>
      </c>
      <c r="C4" s="17" t="s">
        <v>41</v>
      </c>
      <c r="D4" s="17" t="s">
        <v>42</v>
      </c>
      <c r="E4" s="17" t="s">
        <v>43</v>
      </c>
      <c r="F4" s="17" t="s">
        <v>44</v>
      </c>
      <c r="G4" s="17" t="s">
        <v>45</v>
      </c>
      <c r="H4" s="17" t="s">
        <v>46</v>
      </c>
      <c r="I4" s="17" t="s">
        <v>47</v>
      </c>
      <c r="J4" s="17" t="s">
        <v>48</v>
      </c>
      <c r="K4" s="17" t="s">
        <v>49</v>
      </c>
    </row>
    <row r="5" spans="1:11" x14ac:dyDescent="0.25">
      <c r="A5" t="s">
        <v>3</v>
      </c>
      <c r="B5" s="9">
        <f>Assumptions!B6</f>
        <v>-0.01233295846363558</v>
      </c>
      <c r="C5" s="5">
        <v>0.0016400579752906541</v>
      </c>
      <c r="D5" s="5">
        <v>0.0045600507283793225</v>
      </c>
      <c r="E5" s="5">
        <v>0.007480043481467991</v>
      </c>
      <c r="F5" s="5">
        <v>0.01040003623455666</v>
      </c>
      <c r="G5" s="5">
        <v>0.013320028987645328</v>
      </c>
      <c r="H5" s="5">
        <v>0.016240021740733995</v>
      </c>
      <c r="I5" s="5">
        <v>0.019160014493822666</v>
      </c>
      <c r="J5" s="5">
        <v>0.022080007246911334</v>
      </c>
      <c r="K5" s="5">
        <v>0.025</v>
      </c>
    </row>
    <row r="6" spans="1:11" x14ac:dyDescent="0.25">
      <c r="A6" t="s">
        <v>50</v>
      </c>
      <c r="B6" s="18">
        <f>Assumptions!B29*(1+B5)</f>
        <v>24634391350</v>
      </c>
      <c r="C6" s="18">
        <f>B6*(1+C5)</f>
        <v>24674793180</v>
      </c>
      <c r="D6" s="18">
        <f>C6*(1+D5)</f>
        <v>24787311488.61307</v>
      </c>
      <c r="E6" s="18">
        <f>D6*(1+E5)</f>
        <v>24972721656.336586</v>
      </c>
      <c r="F6" s="18">
        <f>E6*(1+F5)</f>
        <v>25232438866.437984</v>
      </c>
      <c r="G6" s="18">
        <f>F6*(1+G5)</f>
        <v>25568535683.56793</v>
      </c>
      <c r="H6" s="18">
        <f>G6*(1+H5)</f>
        <v>25983769258.947803</v>
      </c>
      <c r="I6" s="18">
        <f>H6*(1+I5)</f>
        <v>26481618654.553387</v>
      </c>
      <c r="J6" s="18">
        <f>I6*(1+J5)</f>
        <v>27066332986.35587</v>
      </c>
      <c r="K6" s="18">
        <f>J6*(1+K5)</f>
        <v>27742991311.014763</v>
      </c>
    </row>
    <row r="7" spans="1:11" x14ac:dyDescent="0.25">
      <c r="A7" t="s">
        <v>4</v>
      </c>
      <c r="B7" s="9">
        <f>Assumptions!B7</f>
        <v>0.1902843827664812</v>
      </c>
      <c r="C7" s="9">
        <f>Assumptions!B7</f>
        <v>0.1902843827664812</v>
      </c>
      <c r="D7" s="9">
        <f>Assumptions!B7</f>
        <v>0.1902843827664812</v>
      </c>
      <c r="E7" s="9">
        <f>Assumptions!B7</f>
        <v>0.1902843827664812</v>
      </c>
      <c r="F7" s="9">
        <f>Assumptions!B7</f>
        <v>0.1902843827664812</v>
      </c>
      <c r="G7" s="9">
        <f>Assumptions!B7</f>
        <v>0.1902843827664812</v>
      </c>
      <c r="H7" s="9">
        <f>Assumptions!B7</f>
        <v>0.1902843827664812</v>
      </c>
      <c r="I7" s="9">
        <f>Assumptions!B7</f>
        <v>0.1902843827664812</v>
      </c>
      <c r="J7" s="9">
        <f>Assumptions!B7</f>
        <v>0.1902843827664812</v>
      </c>
      <c r="K7" s="9">
        <f>Assumptions!B7</f>
        <v>0.1902843827664812</v>
      </c>
    </row>
    <row r="8" spans="1:11" x14ac:dyDescent="0.25">
      <c r="A8" t="s">
        <v>51</v>
      </c>
      <c r="B8" s="18">
        <f>B6*B7</f>
        <v>4687539952.862694</v>
      </c>
      <c r="C8" s="18">
        <f>C6*C7</f>
        <v>4695227790.14688</v>
      </c>
      <c r="D8" s="18">
        <f>D6*D7</f>
        <v>4716638267.051247</v>
      </c>
      <c r="E8" s="18">
        <f>E6*E7</f>
        <v>4751918926.375146</v>
      </c>
      <c r="F8" s="18">
        <f>F6*F7</f>
        <v>4801339055.393123</v>
      </c>
      <c r="G8" s="18">
        <f>G6*G7</f>
        <v>4865293030.790473</v>
      </c>
      <c r="H8" s="18">
        <f>H6*H7</f>
        <v>4944305495.385551</v>
      </c>
      <c r="I8" s="18">
        <f>I6*I7</f>
        <v>5039038460.3390255</v>
      </c>
      <c r="J8" s="18">
        <f>J6*J7</f>
        <v>5150300466.060777</v>
      </c>
      <c r="K8" s="18">
        <f>K6*K7</f>
        <v>5279057977.712296</v>
      </c>
    </row>
    <row r="9" spans="1:11" x14ac:dyDescent="0.25">
      <c r="A9" t="s">
        <v>52</v>
      </c>
      <c r="B9" s="18">
        <f>B8*(1-Assumptions!B8)</f>
        <v>3707272879.8566184</v>
      </c>
      <c r="C9" s="18">
        <f>C8*(1-Assumptions!B8)</f>
        <v>3713353022.309806</v>
      </c>
      <c r="D9" s="18">
        <f>D8*(1-Assumptions!B8)</f>
        <v>3730286100.4639196</v>
      </c>
      <c r="E9" s="18">
        <f>E8*(1-Assumptions!B8)</f>
        <v>3758188802.6937056</v>
      </c>
      <c r="F9" s="18">
        <f>F8*(1-Assumptions!B8)</f>
        <v>3797274102.418025</v>
      </c>
      <c r="G9" s="18">
        <f>G8*(1-Assumptions!B8)</f>
        <v>3847853903.536268</v>
      </c>
      <c r="H9" s="18">
        <f>H8*(1-Assumptions!B8)</f>
        <v>3910343134.584865</v>
      </c>
      <c r="I9" s="18">
        <f>I8*(1-Assumptions!B8)</f>
        <v>3985265365.719331</v>
      </c>
      <c r="J9" s="18">
        <f>J8*(1-Assumptions!B8)</f>
        <v>4073260053.875279</v>
      </c>
      <c r="K9" s="18">
        <f>K8*(1-Assumptions!B8)</f>
        <v>4175091555.2221603</v>
      </c>
    </row>
    <row r="10" spans="1:11" x14ac:dyDescent="0.25">
      <c r="A10" t="s">
        <v>53</v>
      </c>
      <c r="B10" s="18">
        <f>B6*Assumptions!B9</f>
        <v>904019898.3594624</v>
      </c>
      <c r="C10" s="18">
        <f>C6*Assumptions!B9</f>
        <v>905502543.4035883</v>
      </c>
      <c r="D10" s="18">
        <f>D6*Assumptions!B9</f>
        <v>909631680.9361852</v>
      </c>
      <c r="E10" s="18">
        <f>E6*Assumptions!B9</f>
        <v>916435765.4617087</v>
      </c>
      <c r="F10" s="18">
        <f>F6*Assumptions!B9</f>
        <v>925966730.6291541</v>
      </c>
      <c r="G10" s="18">
        <f>G6*Assumptions!B9</f>
        <v>938300634.3227296</v>
      </c>
      <c r="H10" s="18">
        <f>H6*Assumptions!B9</f>
        <v>953538657.0234753</v>
      </c>
      <c r="I10" s="18">
        <f>I6*Assumptions!B9</f>
        <v>971808471.5124652</v>
      </c>
      <c r="J10" s="18">
        <f>J6*Assumptions!B9</f>
        <v>993266009.6060703</v>
      </c>
      <c r="K10" s="18">
        <f>K6*Assumptions!B9</f>
        <v>1018097659.8462219</v>
      </c>
    </row>
    <row r="11" spans="1:11" x14ac:dyDescent="0.25">
      <c r="A11" t="s">
        <v>54</v>
      </c>
      <c r="B11" s="18">
        <f>-B6*B19</f>
        <v>-922321638.5534523</v>
      </c>
      <c r="C11" s="18">
        <f>-C6*C19</f>
        <v>-1079167754.8883214</v>
      </c>
      <c r="D11" s="18">
        <f>-D6*D19</f>
        <v>-1240130598.4071476</v>
      </c>
      <c r="E11" s="18">
        <f>-E6*E19</f>
        <v>-1406615812.3458767</v>
      </c>
      <c r="F11" s="18">
        <f>-F6*F19</f>
        <v>-1580088630.0233722</v>
      </c>
      <c r="G11" s="18">
        <f>-G6*G19</f>
        <v>-1762095224.8211594</v>
      </c>
      <c r="H11" s="18">
        <f>-H6*H19</f>
        <v>-1954285448.1632202</v>
      </c>
      <c r="I11" s="18">
        <f>-I6*I19</f>
        <v>-2158437419.842051</v>
      </c>
      <c r="J11" s="18">
        <f>-J6*J19</f>
        <v>-2376484478.067648</v>
      </c>
      <c r="K11" s="18">
        <f>-K6*K19</f>
        <v>-2610545052.981656</v>
      </c>
    </row>
    <row r="12" spans="1:11" x14ac:dyDescent="0.25">
      <c r="A12" t="s">
        <v>55</v>
      </c>
      <c r="B12" s="18">
        <f>-(B6-Assumptions!B29)*Assumptions!B11</f>
        <v>13208297.13482554</v>
      </c>
      <c r="C12" s="18">
        <f>-(C6-B6)*Assumptions!B11</f>
        <v>-1734799.640487056</v>
      </c>
      <c r="D12" s="18">
        <f>-(D6-C6)*Assumptions!B11</f>
        <v>-4831383.165816201</v>
      </c>
      <c r="E12" s="18">
        <f>-(E6-D6)*Assumptions!B11</f>
        <v>-7961260.475315048</v>
      </c>
      <c r="F12" s="18">
        <f>-(F6-E6)*Assumptions!B11</f>
        <v>-11151903.829905903</v>
      </c>
      <c r="G12" s="18">
        <f>-(G6-F6)*Assumptions!B11</f>
        <v>-14431540.29225583</v>
      </c>
      <c r="H12" s="18">
        <f>-(H6-G6)*Assumptions!B11</f>
        <v>-17829565.078788813</v>
      </c>
      <c r="I12" s="18">
        <f>-(I6-H6)*Assumptions!B11</f>
        <v>-21376976.05562084</v>
      </c>
      <c r="J12" s="18">
        <f>-(J6-I6)*Assumptions!B11</f>
        <v>-25106838.294170734</v>
      </c>
      <c r="K12" s="18">
        <f>-(K6-J6)*Assumptions!B11</f>
        <v>-29054788.31901481</v>
      </c>
    </row>
    <row r="13" spans="1:11" x14ac:dyDescent="0.25">
      <c r="A13" s="19" t="s">
        <v>56</v>
      </c>
      <c r="B13" s="20">
        <f>B9+B10+B11+B12</f>
        <v>3702179436.797454</v>
      </c>
      <c r="C13" s="20">
        <f>C9+C10+C11+C12</f>
        <v>3537953011.1845856</v>
      </c>
      <c r="D13" s="20">
        <f>D9+D10+D11+D12</f>
        <v>3394955799.827141</v>
      </c>
      <c r="E13" s="20">
        <f>E9+E10+E11+E12</f>
        <v>3260047495.334223</v>
      </c>
      <c r="F13" s="20">
        <f>F9+F10+F11+F12</f>
        <v>3132000299.193901</v>
      </c>
      <c r="G13" s="20">
        <f>G9+G10+G11+G12</f>
        <v>3009627772.745582</v>
      </c>
      <c r="H13" s="20">
        <f>H9+H10+H11+H12</f>
        <v>2891766778.366331</v>
      </c>
      <c r="I13" s="20">
        <f>I9+I10+I11+I12</f>
        <v>2777259441.3341246</v>
      </c>
      <c r="J13" s="20">
        <f>J9+J10+J11+J12</f>
        <v>2664934747.11953</v>
      </c>
      <c r="K13" s="20">
        <f>K9+K10+K11+K12</f>
        <v>2553589373.767711</v>
      </c>
    </row>
    <row r="14" spans="1:11" x14ac:dyDescent="0.25">
      <c r="A14" t="s">
        <v>57</v>
      </c>
      <c r="B14" s="21">
        <f>1/(1+Assumptions!$B$26)^(1-0.5*Assumptions!$B$32)</f>
        <v>0.9726286281658075</v>
      </c>
      <c r="C14" s="21">
        <f>1/(1+Assumptions!$B$26)^(2-0.5*Assumptions!$B$32)</f>
        <v>0.9201129540729795</v>
      </c>
      <c r="D14" s="21">
        <f>1/(1+Assumptions!$B$26)^(3-0.5*Assumptions!$B$32)</f>
        <v>0.8704327877428883</v>
      </c>
      <c r="E14" s="21">
        <f>1/(1+Assumptions!$B$26)^(4-0.5*Assumptions!$B$32)</f>
        <v>0.8234350300406291</v>
      </c>
      <c r="F14" s="21">
        <f>1/(1+Assumptions!$B$26)^(5-0.5*Assumptions!$B$32)</f>
        <v>0.7789748481973492</v>
      </c>
      <c r="G14" s="21">
        <f>1/(1+Assumptions!$B$26)^(6-0.5*Assumptions!$B$32)</f>
        <v>0.7369152294797842</v>
      </c>
      <c r="H14" s="21">
        <f>1/(1+Assumptions!$B$26)^(7-0.5*Assumptions!$B$32)</f>
        <v>0.6971265589587633</v>
      </c>
      <c r="I14" s="21">
        <f>1/(1+Assumptions!$B$26)^(8-0.5*Assumptions!$B$32)</f>
        <v>0.6594862200754911</v>
      </c>
      <c r="J14" s="21">
        <f>1/(1+Assumptions!$B$26)^(9-0.5*Assumptions!$B$32)</f>
        <v>0.6238782167746758</v>
      </c>
      <c r="K14" s="21">
        <f>1/(1+Assumptions!$B$26)^(10-0.5*Assumptions!$B$32)</f>
        <v>0.5901928160400305</v>
      </c>
    </row>
    <row r="15" spans="1:11" x14ac:dyDescent="0.25">
      <c r="A15" s="19" t="s">
        <v>58</v>
      </c>
      <c r="B15" s="20">
        <f>B13*B14</f>
        <v>3600845706.8359694</v>
      </c>
      <c r="C15" s="20">
        <f>C13*C14</f>
        <v>3255316396.492442</v>
      </c>
      <c r="D15" s="20">
        <f>D13*D14</f>
        <v>2955080841.107425</v>
      </c>
      <c r="E15" s="20">
        <f>E13*E14</f>
        <v>2684437307.2544136</v>
      </c>
      <c r="F15" s="20">
        <f>F13*F14</f>
        <v>2439749457.6186213</v>
      </c>
      <c r="G15" s="20">
        <f>G13*G14</f>
        <v>2217840540.8015423</v>
      </c>
      <c r="H15" s="20">
        <f>H13*H14</f>
        <v>2015927423.5137892</v>
      </c>
      <c r="I15" s="20">
        <f>I13*I14</f>
        <v>1831564331.1344118</v>
      </c>
      <c r="J15" s="20">
        <f>J13*J14</f>
        <v>1662594737.853804</v>
      </c>
      <c r="K15" s="20">
        <f>K13*K14</f>
        <v>1507110103.5138633</v>
      </c>
    </row>
    <row r="17" spans="1:2" x14ac:dyDescent="0.25">
      <c r="A17" s="22" t="s">
        <v>59</v>
      </c>
      <c r="B17" s="23">
        <f>SUM(B15:K15)</f>
        <v>24170466846.12628</v>
      </c>
    </row>
    <row r="19" spans="1:11" x14ac:dyDescent="0.25">
      <c r="A19" t="s">
        <v>7</v>
      </c>
      <c r="B19" s="9">
        <f>Assumptions!$B$10+($B$20-Assumptions!$B$10)*0/9</f>
        <v>0.03744040700861287</v>
      </c>
      <c r="C19" s="9">
        <f>Assumptions!$B$10+($B$20-Assumptions!$B$10)*1/9</f>
        <v>0.04373563527020904</v>
      </c>
      <c r="D19" s="9">
        <f>Assumptions!$B$10+($B$20-Assumptions!$B$10)*2/9</f>
        <v>0.0500308635318052</v>
      </c>
      <c r="E19" s="9">
        <f>Assumptions!$B$10+($B$20-Assumptions!$B$10)*3/9</f>
        <v>0.05632609179340137</v>
      </c>
      <c r="F19" s="9">
        <f>Assumptions!$B$10+($B$20-Assumptions!$B$10)*4/9</f>
        <v>0.06262132005499753</v>
      </c>
      <c r="G19" s="9">
        <f>Assumptions!$B$10+($B$20-Assumptions!$B$10)*5/9</f>
        <v>0.0689165483165937</v>
      </c>
      <c r="H19" s="9">
        <f>Assumptions!$B$10+($B$20-Assumptions!$B$10)*6/9</f>
        <v>0.07521177657818987</v>
      </c>
      <c r="I19" s="9">
        <f>Assumptions!$B$10+($B$20-Assumptions!$B$10)*7/9</f>
        <v>0.08150700483978604</v>
      </c>
      <c r="J19" s="9">
        <f>Assumptions!$B$10+($B$20-Assumptions!$B$10)*8/9</f>
        <v>0.08780223310138219</v>
      </c>
      <c r="K19" s="9">
        <f>Assumptions!$B$10+($B$20-Assumptions!$B$10)*9/9</f>
        <v>0.09409746136297836</v>
      </c>
    </row>
    <row r="20" spans="1:2" x14ac:dyDescent="0.25">
      <c r="A20" t="s">
        <v>60</v>
      </c>
      <c r="B20" s="9">
        <f>IF(Assumptions!$B$33=0,Assumptions!$B$10,MIN(Assumptions!$B$15,Assumptions!$B$9)+MAX((K7+MAX(Assumptions!$B$9-Assumptions!$B$15,0))*(1-Assumptions!$B$8),0)*IF(Assumptions!$B$12&lt;=0,0,MIN(Assumptions!$B$12/MAX(Assumptions!$B$14,Assumptions!$B$26),0.9)))</f>
        <v>0.09409746136297836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4" t="s">
        <v>61</v>
      </c>
    </row>
    <row r="3" spans="1:3" x14ac:dyDescent="0.25">
      <c r="A3" s="3" t="s">
        <v>62</v>
      </c>
      <c r="B3" s="4"/>
      <c r="C3" s="4"/>
    </row>
    <row r="4" spans="1:2" x14ac:dyDescent="0.25">
      <c r="A4" t="s">
        <v>63</v>
      </c>
      <c r="B4" s="18">
        <f>Forecast!K13</f>
        <v>2553589373.767711</v>
      </c>
    </row>
    <row r="5" spans="1:2" x14ac:dyDescent="0.25">
      <c r="A5" t="s">
        <v>64</v>
      </c>
      <c r="B5" s="18">
        <f>IF(Assumptions!$B$33=0,B4,(Forecast!K8+MAX(Forecast!K10-MIN(Assumptions!B15*Forecast!K6,Forecast!K10),0))*(1-Assumptions!B8))</f>
        <v>4388413329.508447</v>
      </c>
    </row>
    <row r="6" spans="1:2" x14ac:dyDescent="0.25">
      <c r="A6" t="s">
        <v>65</v>
      </c>
      <c r="B6" s="9">
        <f>IF(OR(Assumptions!$B$33=0,Assumptions!B12&lt;=0),0,MIN(Assumptions!B12/MAX(Assumptions!B14,Assumptions!B26),0.9))</f>
        <v>0.42433904796143695</v>
      </c>
    </row>
    <row r="7" spans="1:2" x14ac:dyDescent="0.25">
      <c r="A7" t="s">
        <v>66</v>
      </c>
      <c r="B7" s="18">
        <f>-MAX(B5,0)*B6</f>
        <v>-1862175134.304894</v>
      </c>
    </row>
    <row r="8" spans="1:2" x14ac:dyDescent="0.25">
      <c r="A8" t="s">
        <v>67</v>
      </c>
      <c r="B8" s="18">
        <f>IF(OR(Assumptions!$B$33=0,Assumptions!B12&lt;=0),B5,MAX(B5+B7,0))</f>
        <v>2526238195.2035527</v>
      </c>
    </row>
    <row r="9" spans="1:2" x14ac:dyDescent="0.25">
      <c r="A9" t="s">
        <v>68</v>
      </c>
      <c r="B9" s="18">
        <f>B8*(1+Assumptions!B12)/(Assumptions!B26-Assumptions!B12)</f>
        <v>80728736168.71416</v>
      </c>
    </row>
    <row r="10" spans="1:2" x14ac:dyDescent="0.25">
      <c r="A10" t="s">
        <v>69</v>
      </c>
      <c r="B10" s="18">
        <f>B9/(1+Assumptions!B26)^(10-0.5*Assumptions!B32)</f>
        <v>47645520134.76607</v>
      </c>
    </row>
    <row r="11" spans="1:2" x14ac:dyDescent="0.25">
      <c r="A11" t="s">
        <v>70</v>
      </c>
      <c r="B11" s="18">
        <f>Forecast!B17+B10</f>
        <v>71815986980.89235</v>
      </c>
    </row>
    <row r="12" spans="1:2" x14ac:dyDescent="0.25">
      <c r="A12" t="s">
        <v>71</v>
      </c>
      <c r="B12" s="18">
        <f>-Assumptions!B30</f>
        <v>-17544000000</v>
      </c>
    </row>
    <row r="13" spans="1:2" x14ac:dyDescent="0.25">
      <c r="A13" t="s">
        <v>72</v>
      </c>
      <c r="B13" s="18">
        <f>B11+B12</f>
        <v>54271986980.89235</v>
      </c>
    </row>
    <row r="14" spans="1:2" x14ac:dyDescent="0.25">
      <c r="A14" s="19" t="s">
        <v>73</v>
      </c>
      <c r="B14" s="24">
        <f>B13/Assumptions!B31</f>
        <v>45.721977237483024</v>
      </c>
    </row>
    <row r="16" spans="1:3" x14ac:dyDescent="0.25">
      <c r="A16" s="3" t="s">
        <v>74</v>
      </c>
      <c r="B16" s="4"/>
      <c r="C16" s="4"/>
    </row>
    <row r="17" spans="1:2" x14ac:dyDescent="0.25">
      <c r="A17" t="s">
        <v>75</v>
      </c>
      <c r="B17" s="18">
        <f>Forecast!K8+Forecast!K10</f>
        <v>6297155637.558517</v>
      </c>
    </row>
    <row r="18" spans="1:2" x14ac:dyDescent="0.25">
      <c r="A18" t="s">
        <v>68</v>
      </c>
      <c r="B18" s="18">
        <f>B17*Assumptions!B13</f>
        <v>52137695429.968094</v>
      </c>
    </row>
    <row r="19" spans="1:2" x14ac:dyDescent="0.25">
      <c r="A19" t="s">
        <v>69</v>
      </c>
      <c r="B19" s="18">
        <f>B18/(1+Assumptions!B26)^(10-0.5*Assumptions!B32)</f>
        <v>30771293287.6503</v>
      </c>
    </row>
    <row r="20" spans="1:2" x14ac:dyDescent="0.25">
      <c r="A20" t="s">
        <v>70</v>
      </c>
      <c r="B20" s="18">
        <f>Forecast!B17+B19</f>
        <v>54941760133.77658</v>
      </c>
    </row>
    <row r="21" spans="1:2" x14ac:dyDescent="0.25">
      <c r="A21" t="s">
        <v>71</v>
      </c>
      <c r="B21" s="18">
        <f>-Assumptions!B30</f>
        <v>-17544000000</v>
      </c>
    </row>
    <row r="22" spans="1:2" x14ac:dyDescent="0.25">
      <c r="A22" t="s">
        <v>72</v>
      </c>
      <c r="B22" s="18">
        <f>B20+B21</f>
        <v>37397760133.77658</v>
      </c>
    </row>
    <row r="23" spans="1:2" x14ac:dyDescent="0.25">
      <c r="A23" s="19" t="s">
        <v>73</v>
      </c>
      <c r="B23" s="25">
        <f>B22/Assumptions!B31</f>
        <v>31.50611637217909</v>
      </c>
    </row>
    <row r="25" spans="1:3" x14ac:dyDescent="0.25">
      <c r="A25" s="3" t="s">
        <v>76</v>
      </c>
      <c r="B25" s="4"/>
      <c r="C25" s="4"/>
    </row>
    <row r="26" spans="1:2" x14ac:dyDescent="0.25">
      <c r="A26" t="s">
        <v>77</v>
      </c>
      <c r="B26" s="26">
        <v>24.34</v>
      </c>
    </row>
    <row r="27" spans="1:3" x14ac:dyDescent="0.25">
      <c r="A27" t="s">
        <v>78</v>
      </c>
      <c r="B27" s="27">
        <v>1</v>
      </c>
      <c r="C27" s="6" t="s">
        <v>79</v>
      </c>
    </row>
    <row r="28" spans="1:2" x14ac:dyDescent="0.25">
      <c r="A28" t="s">
        <v>80</v>
      </c>
      <c r="B28" s="28">
        <f>B14*B27</f>
        <v>45.721977237483024</v>
      </c>
    </row>
    <row r="29" spans="1:2" x14ac:dyDescent="0.25">
      <c r="A29" s="19" t="s">
        <v>81</v>
      </c>
      <c r="B29" s="11">
        <f>B28/B26-1</f>
        <v>0.878470716412614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4" t="s">
        <v>82</v>
      </c>
    </row>
    <row r="2" spans="1:1" x14ac:dyDescent="0.25">
      <c r="A2" s="15" t="s">
        <v>83</v>
      </c>
    </row>
    <row r="4" spans="1:6" x14ac:dyDescent="0.25">
      <c r="A4" s="16" t="s">
        <v>29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0.037075</v>
      </c>
      <c r="B5" s="31">
        <v>99.30945372496976</v>
      </c>
      <c r="C5" s="31">
        <v>111.71116846867298</v>
      </c>
      <c r="D5" s="31">
        <v>135.16182057314225</v>
      </c>
      <c r="E5" s="31">
        <v>193.086718930461</v>
      </c>
      <c r="F5" s="31">
        <v>534.6972822359281</v>
      </c>
    </row>
    <row r="6" spans="1:6" x14ac:dyDescent="0.25">
      <c r="A6" s="30">
        <v>0.047075</v>
      </c>
      <c r="B6" s="31">
        <v>64.9337524639475</v>
      </c>
      <c r="C6" s="31">
        <v>66.94040979174106</v>
      </c>
      <c r="D6" s="31">
        <v>70.25778751792372</v>
      </c>
      <c r="E6" s="31">
        <v>76.03732376699531</v>
      </c>
      <c r="F6" s="31">
        <v>87.33760055496703</v>
      </c>
    </row>
    <row r="7" spans="1:6" x14ac:dyDescent="0.25">
      <c r="A7" s="30">
        <v>0.057075</v>
      </c>
      <c r="B7" s="31">
        <v>46.8633990897156</v>
      </c>
      <c r="C7" s="31">
        <v>46.256901415879156</v>
      </c>
      <c r="D7" s="32">
        <v>45.722395454729124</v>
      </c>
      <c r="E7" s="31">
        <v>45.299765811631985</v>
      </c>
      <c r="F7" s="31">
        <v>45.06503263475499</v>
      </c>
    </row>
    <row r="8" spans="1:6" x14ac:dyDescent="0.25">
      <c r="A8" s="30">
        <v>0.067075</v>
      </c>
      <c r="B8" s="31">
        <v>37.26231584104662</v>
      </c>
      <c r="C8" s="31">
        <v>36.56708227669433</v>
      </c>
      <c r="D8" s="31">
        <v>35.871848712342</v>
      </c>
      <c r="E8" s="31">
        <v>35.1766151479897</v>
      </c>
      <c r="F8" s="31">
        <v>34.48138158363738</v>
      </c>
    </row>
    <row r="9" spans="1:6" x14ac:dyDescent="0.25">
      <c r="A9" s="30">
        <v>0.077075</v>
      </c>
      <c r="B9" s="31">
        <v>30.554924495350477</v>
      </c>
      <c r="C9" s="31">
        <v>29.982539463821734</v>
      </c>
      <c r="D9" s="31">
        <v>29.410154432292973</v>
      </c>
      <c r="E9" s="31">
        <v>28.837769400764227</v>
      </c>
      <c r="F9" s="31">
        <v>28.26538436923547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4" t="s">
        <v>84</v>
      </c>
    </row>
    <row r="4" spans="1:6" x14ac:dyDescent="0.25">
      <c r="A4" s="16" t="s">
        <v>85</v>
      </c>
      <c r="B4" s="17" t="s">
        <v>86</v>
      </c>
      <c r="C4" s="17" t="s">
        <v>87</v>
      </c>
      <c r="D4" s="17" t="s">
        <v>88</v>
      </c>
      <c r="E4" s="17" t="s">
        <v>89</v>
      </c>
      <c r="F4" s="33" t="s">
        <v>90</v>
      </c>
    </row>
    <row r="5" spans="1:6" x14ac:dyDescent="0.25">
      <c r="A5" t="s">
        <v>50</v>
      </c>
      <c r="B5" s="18">
        <v>24942000000</v>
      </c>
      <c r="C5" s="18">
        <v>25846000000</v>
      </c>
      <c r="D5" s="18">
        <v>26640000000</v>
      </c>
      <c r="E5" s="18">
        <v>26485000000</v>
      </c>
      <c r="F5" s="6" t="s">
        <v>91</v>
      </c>
    </row>
    <row r="6" spans="1:6" x14ac:dyDescent="0.25">
      <c r="A6" t="s">
        <v>51</v>
      </c>
      <c r="B6" s="18">
        <v>4637000000</v>
      </c>
      <c r="C6" s="18">
        <v>5352000000</v>
      </c>
      <c r="D6" s="18">
        <v>5234000000</v>
      </c>
      <c r="E6" s="18">
        <v>4547000000</v>
      </c>
      <c r="F6" s="6" t="s">
        <v>92</v>
      </c>
    </row>
    <row r="7" spans="1:6" x14ac:dyDescent="0.25">
      <c r="A7" t="s">
        <v>93</v>
      </c>
      <c r="B7" s="18">
        <v>968000000</v>
      </c>
      <c r="C7" s="18">
        <v>948000000</v>
      </c>
      <c r="D7" s="18">
        <v>961000000</v>
      </c>
      <c r="E7" s="18">
        <v>933000000</v>
      </c>
      <c r="F7" s="6" t="s">
        <v>94</v>
      </c>
    </row>
    <row r="8" spans="1:6" x14ac:dyDescent="0.25">
      <c r="A8" t="s">
        <v>95</v>
      </c>
      <c r="B8" s="18">
        <v>801000000</v>
      </c>
      <c r="C8" s="18">
        <v>1164000000</v>
      </c>
      <c r="D8" s="18">
        <v>1013000000</v>
      </c>
      <c r="E8" s="18">
        <v>916000000</v>
      </c>
      <c r="F8" s="6" t="s">
        <v>96</v>
      </c>
    </row>
    <row r="9" spans="1:6" x14ac:dyDescent="0.25">
      <c r="A9" t="s">
        <v>97</v>
      </c>
      <c r="B9" s="18">
        <v>-230000000</v>
      </c>
      <c r="C9" s="18">
        <v>589000000</v>
      </c>
      <c r="D9" s="18">
        <v>806000000</v>
      </c>
      <c r="E9" s="18">
        <v>1483000000</v>
      </c>
      <c r="F9" s="6" t="s">
        <v>98</v>
      </c>
    </row>
    <row r="10" spans="1:6" x14ac:dyDescent="0.25">
      <c r="A10" t="s">
        <v>99</v>
      </c>
      <c r="B10" s="18">
        <v>21219000000</v>
      </c>
      <c r="C10" s="18">
        <v>19869000000</v>
      </c>
      <c r="D10" s="18">
        <v>20032000000</v>
      </c>
      <c r="E10" s="18">
        <v>20070000000</v>
      </c>
      <c r="F10" s="6" t="s">
        <v>100</v>
      </c>
    </row>
    <row r="11" spans="1:6" x14ac:dyDescent="0.25">
      <c r="A11" t="s">
        <v>101</v>
      </c>
      <c r="B11" s="18">
        <v>3675000000</v>
      </c>
      <c r="C11" s="18">
        <v>1334000000</v>
      </c>
      <c r="D11" s="18">
        <v>1400000000</v>
      </c>
      <c r="E11" s="18">
        <v>1040000000</v>
      </c>
      <c r="F11" s="6" t="s">
        <v>102</v>
      </c>
    </row>
    <row r="12" spans="1:6" x14ac:dyDescent="0.25">
      <c r="A12" t="s">
        <v>34</v>
      </c>
      <c r="B12" s="34">
        <v>1187000000</v>
      </c>
      <c r="C12" s="34">
        <v>1215000000</v>
      </c>
      <c r="D12" s="34">
        <v>1235000000</v>
      </c>
      <c r="E12" s="34">
        <v>1235000000</v>
      </c>
      <c r="F12" s="6" t="s">
        <v>103</v>
      </c>
    </row>
    <row r="15" spans="1:1" x14ac:dyDescent="0.25">
      <c r="A15" s="19" t="s">
        <v>104</v>
      </c>
    </row>
    <row r="17" spans="1:1" x14ac:dyDescent="0.25">
      <c r="A17" s="35" t="s">
        <v>105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1970-01-01T00:00:00Z</dcterms:modified>
</cp:coreProperties>
</file>