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<sst xmlns="http://schemas.openxmlformats.org/spreadsheetml/2006/main" count="120" uniqueCount="107">
  <si>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Kimco Realty Corporation (KIM)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</si>
  <si>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</si>
  <si>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</si>
  <si>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</si>
  <si>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</si>
  <si>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</si>
  <si>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</si>
  <si>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</si>
  <si>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</si>
  <si>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</si>
  <si>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</si>
  <si>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</si>
  <si>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</si>
  <si>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</si>
  <si>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</si>
  <si>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</si>
  <si>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</si>
  <si>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</si>
  <si>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</si>
  <si>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</si>
  <si>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</si>
  <si>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</si>
  <si>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</si>
  <si>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</si>
  <si>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2.2x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</si>
  <si>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</si>
  <si>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</si>
  <si>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</si>
  <si>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</si>
  <si>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</si>
  <si>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</si>
  <si>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</si>
  <si>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</si>
  <si>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</si>
  <si>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</si>
  <si>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</si>
  <si>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</si>
  <si>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</si>
  <si>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</si>
  <si>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</si>
  <si>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</si>
  <si>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</si>
  <si>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</si>
  <si>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</si>
  <si>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</si>
  <si>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</si>
  <si>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</si>
  <si>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</si>
  <si>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</si>
  <si>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</si>
  <si>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</si>
  <si>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</si>
  <si>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</si>
  <si>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</si>
  <si>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</si>
  <si>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</si>
  <si>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</si>
  <si>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</si>
  <si>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</si>
  <si>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</si>
  <si>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</si>
  <si>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</si>
  <si>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</si>
  <si>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</si>
  <si>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</si>
  <si>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</si>
  <si>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</si>
  <si>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</si>
  <si>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</si>
  <si>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</si>
  <si>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</si>
  <si>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</si>
  <si>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</si>
  <si>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</si>
  <si>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</si>
  <si>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</si>
  <si>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</si>
  <si>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</si>
  <si>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</si>
  <si>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</si>
  <si>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</si>
  <si>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</si>
  <si>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</si>
  <si>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</si>
  <si>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</si>
  <si>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</si>
  <si>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</si>
  <si>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</si>
  <si>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</si>
  <si>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</si>
  <si>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</si>
  <si>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</si>
  <si>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</si>
  <si>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</si>
  <si>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</si>
  <si>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</si>
  <si>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</si>
  <si>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</si>
  <si>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</si>
  <si>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</si>
  <si>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</si>
  <si>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</si>
  <si>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</si>
  <si>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</si>
  <si>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</si>
  <si>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29.15%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</si>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</sst>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0.023235614331185817</v>
      </c>
    </row>
    <row r="7" spans="1:2" x14ac:dyDescent="0.25">
      <c r="A7" t="s">
        <v>4</v>
      </c>
      <c r="B7" s="5">
        <v>0.3290109136435544</v>
      </c>
    </row>
    <row r="8" spans="1:2" x14ac:dyDescent="0.25">
      <c r="A8" t="s">
        <v>5</v>
      </c>
      <c r="B8" s="5">
        <v>0</v>
      </c>
    </row>
    <row r="9" spans="1:2" x14ac:dyDescent="0.25">
      <c r="A9" t="s">
        <v>6</v>
      </c>
      <c r="B9" s="5">
        <v>0.282424297240703</v>
      </c>
    </row>
    <row r="10" spans="1:3" x14ac:dyDescent="0.25">
      <c r="A10" t="s">
        <v>7</v>
      </c>
      <c r="B10" s="5">
        <v>0.29152762169097307</v>
      </c>
      <c r="C10" s="6" t="s">
        <v>8</v>
      </c>
    </row>
    <row r="11" spans="1:2" x14ac:dyDescent="0.25">
      <c r="A11" t="s">
        <v>9</v>
      </c>
      <c r="B11" s="5">
        <v>0.002721849836164486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18.55951153975235</v>
      </c>
    </row>
    <row r="14" spans="1:3" x14ac:dyDescent="0.25">
      <c r="A14" t="s">
        <v>12</v>
      </c>
      <c r="B14" s="5">
        <v>0.08251312289869292</v>
      </c>
      <c r="C14" s="6" t="s">
        <v>13</v>
      </c>
    </row>
    <row r="15" spans="1:3" x14ac:dyDescent="0.25">
      <c r="A15" t="s">
        <v>14</v>
      </c>
      <c r="B15" s="5">
        <v>0.29152762169097307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0.97655</v>
      </c>
      <c r="C19" s="6" t="s">
        <v>21</v>
      </c>
    </row>
    <row r="20" spans="1:2" x14ac:dyDescent="0.25">
      <c r="A20" t="s">
        <v>22</v>
      </c>
      <c r="B20" s="9">
        <f>B17+B19*B18</f>
        <v>0.090248065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16293292032</v>
      </c>
    </row>
    <row r="23" spans="1:2" x14ac:dyDescent="0.25">
      <c r="A23" t="s">
        <v>26</v>
      </c>
      <c r="B23" s="10">
        <v>8305981000</v>
      </c>
    </row>
    <row r="24" spans="1:2" x14ac:dyDescent="0.25">
      <c r="A24" t="s">
        <v>27</v>
      </c>
      <c r="B24" s="9">
        <f>B22/(B22+B23)</f>
        <v>0.6623485178120853</v>
      </c>
    </row>
    <row r="25" spans="1:2" x14ac:dyDescent="0.25">
      <c r="A25" t="s">
        <v>28</v>
      </c>
      <c r="B25" s="9">
        <f>1-B24</f>
        <v>0.33765148218791474</v>
      </c>
    </row>
    <row r="26" spans="1:2" x14ac:dyDescent="0.25">
      <c r="A26" t="s">
        <v>29</v>
      </c>
      <c r="B26" s="11">
        <f>B24*B20+B25*B21*(1-B8)</f>
        <v>0.08251312289869292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2140116000</v>
      </c>
      <c r="C29" s="6" t="s">
        <v>32</v>
      </c>
    </row>
    <row r="30" spans="1:2" x14ac:dyDescent="0.25">
      <c r="A30" t="s">
        <v>33</v>
      </c>
      <c r="B30" s="10">
        <v>8094333000</v>
      </c>
    </row>
    <row r="31" spans="1:2" x14ac:dyDescent="0.25">
      <c r="A31" t="s">
        <v>34</v>
      </c>
      <c r="B31" s="12">
        <v>675279000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0.023235614331185817</v>
      </c>
      <c r="C5" s="5">
        <v>0.03463429712408006</v>
      </c>
      <c r="D5" s="5">
        <v>0.033430009983570055</v>
      </c>
      <c r="E5" s="5">
        <v>0.032225722843060044</v>
      </c>
      <c r="F5" s="5">
        <v>0.03102143570255004</v>
      </c>
      <c r="G5" s="5">
        <v>0.02981714856204003</v>
      </c>
      <c r="H5" s="5">
        <v>0.028612861421530023</v>
      </c>
      <c r="I5" s="5">
        <v>0.027408574281020018</v>
      </c>
      <c r="J5" s="5">
        <v>0.02620428714051001</v>
      </c>
      <c r="K5" s="5">
        <v>0.025</v>
      </c>
    </row>
    <row r="6" spans="1:11" x14ac:dyDescent="0.25">
      <c r="A6" t="s">
        <v>50</v>
      </c>
      <c r="B6" s="18">
        <f>Assumptions!B29*(1+B5)</f>
        <v>2189842910</v>
      </c>
      <c r="C6" s="18">
        <f>B6*(1+C5)</f>
        <v>2265686580</v>
      </c>
      <c r="D6" s="18">
        <f>C6*(1+D5)</f>
        <v>2341428504.989041</v>
      </c>
      <c r="E6" s="18">
        <f>D6*(1+E5)</f>
        <v>2416882731.047658</v>
      </c>
      <c r="F6" s="18">
        <f>E6*(1+F5)</f>
        <v>2491857903.2894564</v>
      </c>
      <c r="G6" s="18">
        <f>F6*(1+G5)</f>
        <v>2566158000.587332</v>
      </c>
      <c r="H6" s="18">
        <f>G6*(1+H5)</f>
        <v>2639583123.8438873</v>
      </c>
      <c r="I6" s="18">
        <f>H6*(1+I5)</f>
        <v>2711930333.9646893</v>
      </c>
      <c r="J6" s="18">
        <f>I6*(1+J5)</f>
        <v>2782994535.140959</v>
      </c>
      <c r="K6" s="18">
        <f>J6*(1+K5)</f>
        <v>2852569398.5194826</v>
      </c>
    </row>
    <row r="7" spans="1:11" x14ac:dyDescent="0.25">
      <c r="A7" t="s">
        <v>4</v>
      </c>
      <c r="B7" s="9">
        <f>Assumptions!B7</f>
        <v>0.3290109136435544</v>
      </c>
      <c r="C7" s="9">
        <f>Assumptions!B7</f>
        <v>0.3290109136435544</v>
      </c>
      <c r="D7" s="9">
        <f>Assumptions!B7</f>
        <v>0.3290109136435544</v>
      </c>
      <c r="E7" s="9">
        <f>Assumptions!B7</f>
        <v>0.3290109136435544</v>
      </c>
      <c r="F7" s="9">
        <f>Assumptions!B7</f>
        <v>0.3290109136435544</v>
      </c>
      <c r="G7" s="9">
        <f>Assumptions!B7</f>
        <v>0.3290109136435544</v>
      </c>
      <c r="H7" s="9">
        <f>Assumptions!B7</f>
        <v>0.3290109136435544</v>
      </c>
      <c r="I7" s="9">
        <f>Assumptions!B7</f>
        <v>0.3290109136435544</v>
      </c>
      <c r="J7" s="9">
        <f>Assumptions!B7</f>
        <v>0.3290109136435544</v>
      </c>
      <c r="K7" s="9">
        <f>Assumptions!B7</f>
        <v>0.3290109136435544</v>
      </c>
    </row>
    <row r="8" spans="1:11" x14ac:dyDescent="0.25">
      <c r="A8" t="s">
        <v>51</v>
      </c>
      <c r="B8" s="18">
        <f>B6*B7</f>
        <v>720482216.5549599</v>
      </c>
      <c r="C8" s="18">
        <f>C6*C7</f>
        <v>745435611.7157401</v>
      </c>
      <c r="D8" s="18">
        <f>D6*D7</f>
        <v>770355531.657506</v>
      </c>
      <c r="E8" s="18">
        <f>E6*E7</f>
        <v>795180795.5113189</v>
      </c>
      <c r="F8" s="18">
        <f>F6*F7</f>
        <v>819848445.4311758</v>
      </c>
      <c r="G8" s="18">
        <f>G6*G7</f>
        <v>844293988.3269548</v>
      </c>
      <c r="H8" s="18">
        <f>H6*H7</f>
        <v>868451655.2139847</v>
      </c>
      <c r="I8" s="18">
        <f>I6*I7</f>
        <v>892254676.915392</v>
      </c>
      <c r="J8" s="18">
        <f>J6*J7</f>
        <v>915635574.6717458</v>
      </c>
      <c r="K8" s="18">
        <f>K6*K7</f>
        <v>938526464.0385394</v>
      </c>
    </row>
    <row r="9" spans="1:11" x14ac:dyDescent="0.25">
      <c r="A9" t="s">
        <v>52</v>
      </c>
      <c r="B9" s="18">
        <f>B8*(1-Assumptions!B8)</f>
        <v>720482216.5549599</v>
      </c>
      <c r="C9" s="18">
        <f>C8*(1-Assumptions!B8)</f>
        <v>745435611.7157401</v>
      </c>
      <c r="D9" s="18">
        <f>D8*(1-Assumptions!B8)</f>
        <v>770355531.657506</v>
      </c>
      <c r="E9" s="18">
        <f>E8*(1-Assumptions!B8)</f>
        <v>795180795.5113189</v>
      </c>
      <c r="F9" s="18">
        <f>F8*(1-Assumptions!B8)</f>
        <v>819848445.4311758</v>
      </c>
      <c r="G9" s="18">
        <f>G8*(1-Assumptions!B8)</f>
        <v>844293988.3269548</v>
      </c>
      <c r="H9" s="18">
        <f>H8*(1-Assumptions!B8)</f>
        <v>868451655.2139847</v>
      </c>
      <c r="I9" s="18">
        <f>I8*(1-Assumptions!B8)</f>
        <v>892254676.915392</v>
      </c>
      <c r="J9" s="18">
        <f>J8*(1-Assumptions!B8)</f>
        <v>915635574.6717458</v>
      </c>
      <c r="K9" s="18">
        <f>K8*(1-Assumptions!B8)</f>
        <v>938526464.0385394</v>
      </c>
    </row>
    <row r="10" spans="1:11" x14ac:dyDescent="0.25">
      <c r="A10" t="s">
        <v>53</v>
      </c>
      <c r="B10" s="18">
        <f>B6*Assumptions!B9</f>
        <v>618464844.924286</v>
      </c>
      <c r="C10" s="18">
        <f>C6*Assumptions!B9</f>
        <v>639884940.1241919</v>
      </c>
      <c r="D10" s="18">
        <f>D6*Assumptions!B9</f>
        <v>661276300.0608797</v>
      </c>
      <c r="E10" s="18">
        <f>E6*Assumptions!B9</f>
        <v>682586406.8293258</v>
      </c>
      <c r="F10" s="18">
        <f>F6*Assumptions!B9</f>
        <v>703761217.1602163</v>
      </c>
      <c r="G10" s="18">
        <f>G6*Assumptions!B9</f>
        <v>724745369.9244847</v>
      </c>
      <c r="H10" s="18">
        <f>H6*Assumptions!B9</f>
        <v>745482408.7600294</v>
      </c>
      <c r="I10" s="18">
        <f>I6*Assumptions!B9</f>
        <v>765915018.7357224</v>
      </c>
      <c r="J10" s="18">
        <f>J6*Assumptions!B9</f>
        <v>785985275.8119023</v>
      </c>
      <c r="K10" s="18">
        <f>K6*Assumptions!B9</f>
        <v>805634907.7071997</v>
      </c>
    </row>
    <row r="11" spans="1:11" x14ac:dyDescent="0.25">
      <c r="A11" t="s">
        <v>54</v>
      </c>
      <c r="B11" s="18">
        <f>-B6*B19</f>
        <v>-638399695.4291396</v>
      </c>
      <c r="C11" s="18">
        <f>-C6*C19</f>
        <v>-683313372.8042116</v>
      </c>
      <c r="D11" s="18">
        <f>-D6*D19</f>
        <v>-729722007.939021</v>
      </c>
      <c r="E11" s="18">
        <f>-E6*E19</f>
        <v>-777562703.4348642</v>
      </c>
      <c r="F11" s="18">
        <f>-F6*F19</f>
        <v>-826763283.7462829</v>
      </c>
      <c r="G11" s="18">
        <f>-G6*G19</f>
        <v>-877242274.5556104</v>
      </c>
      <c r="H11" s="18">
        <f>-H6*H19</f>
        <v>-928908945.3587258</v>
      </c>
      <c r="I11" s="18">
        <f>-I6*I19</f>
        <v>-981663417.6438216</v>
      </c>
      <c r="J11" s="18">
        <f>-J6*J19</f>
        <v>-1035396840.5303053</v>
      </c>
      <c r="K11" s="18">
        <f>-K6*K19</f>
        <v>-1089991635.179154</v>
      </c>
    </row>
    <row r="12" spans="1:11" x14ac:dyDescent="0.25">
      <c r="A12" t="s">
        <v>55</v>
      </c>
      <c r="B12" s="18">
        <f>-(B6-Assumptions!B29)*Assumptions!B11</f>
        <v>-135349.18183646613</v>
      </c>
      <c r="C12" s="18">
        <f>-(C6-B6)*Assumptions!B11</f>
        <v>-206435.08076361334</v>
      </c>
      <c r="D12" s="18">
        <f>-(D6-C6)*Assumptions!B11</f>
        <v>-206158.14612220362</v>
      </c>
      <c r="E12" s="18">
        <f>-(E6-D6)*Assumptions!B11</f>
        <v>-205375.07283556508</v>
      </c>
      <c r="F12" s="18">
        <f>-(F6-E6)*Assumptions!B11</f>
        <v>-204071.16028274308</v>
      </c>
      <c r="G12" s="18">
        <f>-(G6-F6)*Assumptions!B11</f>
        <v>-202233.70765722753</v>
      </c>
      <c r="H12" s="18">
        <f>-(H6-G6)*Assumptions!B11</f>
        <v>-199852.15970621293</v>
      </c>
      <c r="I12" s="18">
        <f>-(I6-H6)*Assumptions!B11</f>
        <v>-196918.24201426236</v>
      </c>
      <c r="J12" s="18">
        <f>-(J6-I6)*Assumptions!B11</f>
        <v>-193426.0843287893</v>
      </c>
      <c r="K12" s="18">
        <f>-(K6-J6)*Assumptions!B11</f>
        <v>-189372.33048800158</v>
      </c>
    </row>
    <row r="13" spans="1:11" x14ac:dyDescent="0.25">
      <c r="A13" s="19" t="s">
        <v>56</v>
      </c>
      <c r="B13" s="20">
        <f>B9+B10+B11+B12</f>
        <v>700412016.8682698</v>
      </c>
      <c r="C13" s="20">
        <f>C9+C10+C11+C12</f>
        <v>701800743.9549568</v>
      </c>
      <c r="D13" s="20">
        <f>D9+D10+D11+D12</f>
        <v>701703665.6332425</v>
      </c>
      <c r="E13" s="20">
        <f>E9+E10+E11+E12</f>
        <v>699999123.8329451</v>
      </c>
      <c r="F13" s="20">
        <f>F9+F10+F11+F12</f>
        <v>696642307.6848264</v>
      </c>
      <c r="G13" s="20">
        <f>G9+G10+G11+G12</f>
        <v>691594849.9881719</v>
      </c>
      <c r="H13" s="20">
        <f>H9+H10+H11+H12</f>
        <v>684825266.4555823</v>
      </c>
      <c r="I13" s="20">
        <f>I9+I10+I11+I12</f>
        <v>676309359.7652786</v>
      </c>
      <c r="J13" s="20">
        <f>J9+J10+J11+J12</f>
        <v>666030583.869014</v>
      </c>
      <c r="K13" s="20">
        <f>K9+K10+K11+K12</f>
        <v>653980364.2360971</v>
      </c>
    </row>
    <row r="14" spans="1:11" x14ac:dyDescent="0.25">
      <c r="A14" t="s">
        <v>57</v>
      </c>
      <c r="B14" s="21">
        <f>1/(1+Assumptions!$B$26)^(1-0.5*Assumptions!$B$32)</f>
        <v>0.9611328368858466</v>
      </c>
      <c r="C14" s="21">
        <f>1/(1+Assumptions!$B$26)^(2-0.5*Assumptions!$B$32)</f>
        <v>0.8878717648356806</v>
      </c>
      <c r="D14" s="21">
        <f>1/(1+Assumptions!$B$26)^(3-0.5*Assumptions!$B$32)</f>
        <v>0.8201949205550392</v>
      </c>
      <c r="E14" s="21">
        <f>1/(1+Assumptions!$B$26)^(4-0.5*Assumptions!$B$32)</f>
        <v>0.757676653709996</v>
      </c>
      <c r="F14" s="21">
        <f>1/(1+Assumptions!$B$26)^(5-0.5*Assumptions!$B$32)</f>
        <v>0.6999237585971539</v>
      </c>
      <c r="G14" s="21">
        <f>1/(1+Assumptions!$B$26)^(6-0.5*Assumptions!$B$32)</f>
        <v>0.6465730010948388</v>
      </c>
      <c r="H14" s="21">
        <f>1/(1+Assumptions!$B$26)^(7-0.5*Assumptions!$B$32)</f>
        <v>0.5972888341191486</v>
      </c>
      <c r="I14" s="21">
        <f>1/(1+Assumptions!$B$26)^(8-0.5*Assumptions!$B$32)</f>
        <v>0.5517612872163269</v>
      </c>
      <c r="J14" s="21">
        <f>1/(1+Assumptions!$B$26)^(9-0.5*Assumptions!$B$32)</f>
        <v>0.5097040170181507</v>
      </c>
      <c r="K14" s="21">
        <f>1/(1+Assumptions!$B$26)^(10-0.5*Assumptions!$B$32)</f>
        <v>0.47085250629876335</v>
      </c>
    </row>
    <row r="15" spans="1:11" x14ac:dyDescent="0.25">
      <c r="A15" s="19" t="s">
        <v>58</v>
      </c>
      <c r="B15" s="20">
        <f>B13*B14</f>
        <v>673188988.7615376</v>
      </c>
      <c r="C15" s="20">
        <f>C13*C14</f>
        <v>623109065.0982811</v>
      </c>
      <c r="D15" s="20">
        <f>D13*D14</f>
        <v>575533782.287237</v>
      </c>
      <c r="E15" s="20">
        <f>E13*E14</f>
        <v>530372993.74567497</v>
      </c>
      <c r="F15" s="20">
        <f>F13*F14</f>
        <v>487596502.39255863</v>
      </c>
      <c r="G15" s="20">
        <f>G13*G14</f>
        <v>447166557.6985872</v>
      </c>
      <c r="H15" s="20">
        <f>H13*H14</f>
        <v>409038484.97659</v>
      </c>
      <c r="I15" s="20">
        <f>I13*I14</f>
        <v>373161322.90054005</v>
      </c>
      <c r="J15" s="20">
        <f>J13*J14</f>
        <v>339478464.05498075</v>
      </c>
      <c r="K15" s="20">
        <f>K13*K14</f>
        <v>307928293.57074445</v>
      </c>
    </row>
    <row r="17" spans="1:2" x14ac:dyDescent="0.25">
      <c r="A17" s="22" t="s">
        <v>59</v>
      </c>
      <c r="B17" s="23">
        <f>SUM(B15:K15)</f>
        <v>4766574455.486732</v>
      </c>
    </row>
    <row r="19" spans="1:11" x14ac:dyDescent="0.25">
      <c r="A19" t="s">
        <v>7</v>
      </c>
      <c r="B19" s="9">
        <f>Assumptions!$B$10+($B$20-Assumptions!$B$10)*0/9</f>
        <v>0.29152762169097307</v>
      </c>
      <c r="C19" s="9">
        <f>Assumptions!$B$10+($B$20-Assumptions!$B$10)*1/9</f>
        <v>0.3015921879204544</v>
      </c>
      <c r="D19" s="9">
        <f>Assumptions!$B$10+($B$20-Assumptions!$B$10)*2/9</f>
        <v>0.3116567541499357</v>
      </c>
      <c r="E19" s="9">
        <f>Assumptions!$B$10+($B$20-Assumptions!$B$10)*3/9</f>
        <v>0.3217213203794171</v>
      </c>
      <c r="F19" s="9">
        <f>Assumptions!$B$10+($B$20-Assumptions!$B$10)*4/9</f>
        <v>0.3317858866088984</v>
      </c>
      <c r="G19" s="9">
        <f>Assumptions!$B$10+($B$20-Assumptions!$B$10)*5/9</f>
        <v>0.3418504528383797</v>
      </c>
      <c r="H19" s="9">
        <f>Assumptions!$B$10+($B$20-Assumptions!$B$10)*6/9</f>
        <v>0.35191501906786105</v>
      </c>
      <c r="I19" s="9">
        <f>Assumptions!$B$10+($B$20-Assumptions!$B$10)*7/9</f>
        <v>0.3619795852973424</v>
      </c>
      <c r="J19" s="9">
        <f>Assumptions!$B$10+($B$20-Assumptions!$B$10)*8/9</f>
        <v>0.37204415152682374</v>
      </c>
      <c r="K19" s="9">
        <f>Assumptions!$B$10+($B$20-Assumptions!$B$10)*9/9</f>
        <v>0.38210871775630506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0.38210871775630506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653980364.2360971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938526464.0385394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0.30298210904820844</v>
      </c>
    </row>
    <row r="7" spans="1:2" x14ac:dyDescent="0.25">
      <c r="A7" t="s">
        <v>66</v>
      </c>
      <c r="B7" s="18">
        <f>-MAX(B5,0)*B6</f>
        <v>-284356727.4719542</v>
      </c>
    </row>
    <row r="8" spans="1:2" x14ac:dyDescent="0.25">
      <c r="A8" t="s">
        <v>67</v>
      </c>
      <c r="B8" s="18">
        <f>IF(OR(Assumptions!$B$33=0,Assumptions!B12&lt;=0),B5,MAX(B5+B7,0))</f>
        <v>654169736.5665852</v>
      </c>
    </row>
    <row r="9" spans="1:2" x14ac:dyDescent="0.25">
      <c r="A9" t="s">
        <v>68</v>
      </c>
      <c r="B9" s="18">
        <f>B8*(1+Assumptions!B12)/(Assumptions!B26-Assumptions!B12)</f>
        <v>11658625826.35012</v>
      </c>
    </row>
    <row r="10" spans="1:2" x14ac:dyDescent="0.25">
      <c r="A10" t="s">
        <v>69</v>
      </c>
      <c r="B10" s="18">
        <f>B9/(1+Assumptions!B26)^(10-0.5*Assumptions!B32)</f>
        <v>5489493190.336445</v>
      </c>
    </row>
    <row r="11" spans="1:2" x14ac:dyDescent="0.25">
      <c r="A11" t="s">
        <v>70</v>
      </c>
      <c r="B11" s="18">
        <f>Forecast!B17+B10</f>
        <v>10256067645.823177</v>
      </c>
    </row>
    <row r="12" spans="1:2" x14ac:dyDescent="0.25">
      <c r="A12" t="s">
        <v>71</v>
      </c>
      <c r="B12" s="18">
        <f>-Assumptions!B30</f>
        <v>-8094333000</v>
      </c>
    </row>
    <row r="13" spans="1:2" x14ac:dyDescent="0.25">
      <c r="A13" t="s">
        <v>72</v>
      </c>
      <c r="B13" s="18">
        <f>B11+B12</f>
        <v>2161734645.8231773</v>
      </c>
    </row>
    <row r="14" spans="1:2" x14ac:dyDescent="0.25">
      <c r="A14" s="19" t="s">
        <v>73</v>
      </c>
      <c r="B14" s="24">
        <f>B13/Assumptions!B31</f>
        <v>3.2012466637096333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1744161371.745739</v>
      </c>
    </row>
    <row r="18" spans="1:2" x14ac:dyDescent="0.25">
      <c r="A18" t="s">
        <v>68</v>
      </c>
      <c r="B18" s="18">
        <f>B17*Assumptions!B13</f>
        <v>32370783106.10533</v>
      </c>
    </row>
    <row r="19" spans="1:2" x14ac:dyDescent="0.25">
      <c r="A19" t="s">
        <v>69</v>
      </c>
      <c r="B19" s="18">
        <f>B18/(1+Assumptions!B26)^(10-0.5*Assumptions!B32)</f>
        <v>15241864356.363363</v>
      </c>
    </row>
    <row r="20" spans="1:2" x14ac:dyDescent="0.25">
      <c r="A20" t="s">
        <v>70</v>
      </c>
      <c r="B20" s="18">
        <f>Forecast!B17+B19</f>
        <v>20008438811.850094</v>
      </c>
    </row>
    <row r="21" spans="1:2" x14ac:dyDescent="0.25">
      <c r="A21" t="s">
        <v>71</v>
      </c>
      <c r="B21" s="18">
        <f>-Assumptions!B30</f>
        <v>-8094333000</v>
      </c>
    </row>
    <row r="22" spans="1:2" x14ac:dyDescent="0.25">
      <c r="A22" t="s">
        <v>72</v>
      </c>
      <c r="B22" s="18">
        <f>B20+B21</f>
        <v>11914105811.850094</v>
      </c>
    </row>
    <row r="23" spans="1:2" x14ac:dyDescent="0.25">
      <c r="A23" s="19" t="s">
        <v>73</v>
      </c>
      <c r="B23" s="25">
        <f>B22/Assumptions!B31</f>
        <v>17.643234591702235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24.52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3.2012466637096333</v>
      </c>
    </row>
    <row r="29" spans="1:2" x14ac:dyDescent="0.25">
      <c r="A29" s="19" t="s">
        <v>81</v>
      </c>
      <c r="B29" s="11">
        <f>B28/B26-1</f>
        <v>-0.8694434476464261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0.062513</v>
      </c>
      <c r="B5" s="31">
        <v>8.626688344408826</v>
      </c>
      <c r="C5" s="31">
        <v>8.346284819067495</v>
      </c>
      <c r="D5" s="31">
        <v>8.065881293726154</v>
      </c>
      <c r="E5" s="31">
        <v>7.785477768384816</v>
      </c>
      <c r="F5" s="31">
        <v>7.505074243043483</v>
      </c>
    </row>
    <row r="6" spans="1:6" x14ac:dyDescent="0.25">
      <c r="A6" s="30">
        <v>0.072513</v>
      </c>
      <c r="B6" s="31">
        <v>5.753360451070208</v>
      </c>
      <c r="C6" s="31">
        <v>5.524884702214309</v>
      </c>
      <c r="D6" s="31">
        <v>5.29640895335841</v>
      </c>
      <c r="E6" s="31">
        <v>5.067933204502512</v>
      </c>
      <c r="F6" s="31">
        <v>4.839457455646613</v>
      </c>
    </row>
    <row r="7" spans="1:6" x14ac:dyDescent="0.25">
      <c r="A7" s="30">
        <v>0.082513</v>
      </c>
      <c r="B7" s="31">
        <v>3.581148373707929</v>
      </c>
      <c r="C7" s="31">
        <v>3.391208823975188</v>
      </c>
      <c r="D7" s="32">
        <v>3.201269274242441</v>
      </c>
      <c r="E7" s="31">
        <v>3.0113297245097</v>
      </c>
      <c r="F7" s="31">
        <v>2.821390174776953</v>
      </c>
    </row>
    <row r="8" spans="1:6" x14ac:dyDescent="0.25">
      <c r="A8" s="30">
        <v>0.092513</v>
      </c>
      <c r="B8" s="31">
        <v>1.8823829113649169</v>
      </c>
      <c r="C8" s="31">
        <v>1.7219884423736358</v>
      </c>
      <c r="D8" s="31">
        <v>1.561593973382355</v>
      </c>
      <c r="E8" s="31">
        <v>1.401199504391071</v>
      </c>
      <c r="F8" s="31">
        <v>1.2408050353997844</v>
      </c>
    </row>
    <row r="9" spans="1:6" x14ac:dyDescent="0.25">
      <c r="A9" s="30">
        <v>0.102513</v>
      </c>
      <c r="B9" s="31">
        <v>0.5182539557197592</v>
      </c>
      <c r="C9" s="31">
        <v>0.3810921362524558</v>
      </c>
      <c r="D9" s="31">
        <v>0.2439303167851539</v>
      </c>
      <c r="E9" s="31">
        <v>0.10676849731785194</v>
      </c>
      <c r="F9" s="31">
        <v>-0.03039332214945141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2140116000</v>
      </c>
      <c r="C5" s="18">
        <v>2037014000</v>
      </c>
      <c r="D5" s="18">
        <v>1783400000</v>
      </c>
      <c r="E5" s="18">
        <v>1727684000</v>
      </c>
      <c r="F5" s="6" t="s">
        <v>91</v>
      </c>
    </row>
    <row r="6" spans="1:6" x14ac:dyDescent="0.25">
      <c r="A6" t="s">
        <v>51</v>
      </c>
      <c r="B6" s="18">
        <v>717677000</v>
      </c>
      <c r="C6" s="18">
        <v>657536000</v>
      </c>
      <c r="D6" s="18">
        <v>582610000</v>
      </c>
      <c r="E6" s="18">
        <v>572243000</v>
      </c>
      <c r="F6" s="6" t="s">
        <v>92</v>
      </c>
    </row>
    <row r="7" spans="1:6" x14ac:dyDescent="0.25">
      <c r="A7" t="s">
        <v>93</v>
      </c>
      <c r="B7" s="18">
        <v>596346000</v>
      </c>
      <c r="C7" s="18">
        <v>578480000</v>
      </c>
      <c r="D7" s="18">
        <v>490012000</v>
      </c>
      <c r="E7" s="18">
        <v>505000000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0</v>
      </c>
      <c r="F8" s="6" t="s">
        <v>96</v>
      </c>
    </row>
    <row r="9" spans="1:6" x14ac:dyDescent="0.25">
      <c r="A9" t="s">
        <v>97</v>
      </c>
      <c r="B9" s="18">
        <v>18138000</v>
      </c>
      <c r="C9" s="18">
        <v>38092000</v>
      </c>
      <c r="D9" s="18">
        <v>-4394000</v>
      </c>
      <c r="E9" s="18">
        <v>-4343000</v>
      </c>
      <c r="F9" s="6" t="s">
        <v>98</v>
      </c>
    </row>
    <row r="10" spans="1:6" x14ac:dyDescent="0.25">
      <c r="A10" t="s">
        <v>99</v>
      </c>
      <c r="B10" s="18">
        <v>8305981000</v>
      </c>
      <c r="C10" s="18">
        <v>8578337000</v>
      </c>
      <c r="D10" s="18">
        <v>7726781000</v>
      </c>
      <c r="E10" s="18">
        <v>7271565000</v>
      </c>
      <c r="F10" s="6" t="s">
        <v>100</v>
      </c>
    </row>
    <row r="11" spans="1:6" x14ac:dyDescent="0.25">
      <c r="A11" t="s">
        <v>101</v>
      </c>
      <c r="B11" s="18">
        <v>211648000</v>
      </c>
      <c r="C11" s="18">
        <v>688622000</v>
      </c>
      <c r="D11" s="18">
        <v>1110575000</v>
      </c>
      <c r="E11" s="18">
        <v>744702000</v>
      </c>
      <c r="F11" s="6" t="s">
        <v>102</v>
      </c>
    </row>
    <row r="12" spans="1:6" x14ac:dyDescent="0.25">
      <c r="A12" t="s">
        <v>34</v>
      </c>
      <c r="B12" s="34">
        <v>675279000</v>
      </c>
      <c r="C12" s="34">
        <v>672136000</v>
      </c>
      <c r="D12" s="34">
        <v>618199000</v>
      </c>
      <c r="E12" s="34">
        <v>617858000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