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<sst xmlns="http://schemas.openxmlformats.org/spreadsheetml/2006/main" count="116" uniqueCount="104">
  <si>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KKR &amp; Co. Inc. (KKR)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</si>
  <si>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</si>
  <si>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</si>
  <si>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</si>
  <si>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</si>
  <si>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</si>
  <si>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</si>
  <si>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</si>
  <si>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</si>
  <si>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</si>
  <si>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</si>
  <si>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</si>
  <si>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</si>
  <si>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</si>
  <si>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</si>
  <si>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</si>
  <si>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</si>
  <si>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</si>
  <si>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</si>
  <si>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</si>
  <si>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</si>
  <si>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</si>
  <si>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</si>
  <si>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</si>
  <si>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</si>
  <si>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</si>
  <si>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</si>
  <si>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</si>
  <si>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</si>
  <si>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</si>
  <si>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</si>
  <si>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</si>
  <si>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</si>
  <si>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</si>
  <si>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</si>
  <si>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</si>
  <si>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</si>
  <si>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</si>
  <si>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</si>
  <si>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</si>
  <si>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</si>
  <si>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</si>
  <si>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</si>
  <si>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</si>
  <si>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</si>
  <si>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</si>
  <si>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</si>
  <si>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</si>
  <si>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</si>
  <si>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</si>
  <si>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</si>
  <si>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</si>
  <si>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</si>
  <si>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</si>
  <si>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</si>
  <si>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</si>
  <si>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</si>
  <si>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</si>
  <si>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</si>
  <si>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</si>
  <si>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</si>
  <si>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</si>
  <si>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</si>
  <si>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</si>
  <si>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</si>
  <si>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</si>
  <si>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</si>
  <si>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</si>
  <si>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</si>
  <si>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</si>
  <si>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</si>
  <si>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</si>
  <si>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</si>
  <si>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</si>
  <si>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</si>
  <si>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</si>
  <si>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</si>
  <si>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</si>
  <si>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</si>
  <si>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</si>
  <si>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</si>
  <si>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</si>
  <si>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</si>
  <si>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</si>
  <si>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</si>
  <si>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</si>
  <si>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</si>
  <si>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</si>
  <si>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</si>
  <si>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</si>
  <si>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</si>
  <si>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</si>
  <si>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</si>
  <si>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</si>
  <si>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</si>
  <si>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</si>
  <si>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</si>
  <si>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</si>
  <si>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</si>
  <si>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</si>
  <si>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0.94%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</si>
  <si>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</si>
  <si>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Current EV/EBITDA of 26.7x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</si>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</sst>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0.03887625602518325</v>
      </c>
    </row>
    <row r="8" spans="1:2" x14ac:dyDescent="0.25">
      <c r="A8" t="s">
        <v>6</v>
      </c>
      <c r="B8" s="6">
        <v>0.162854178181032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-0.14883829241407284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0.10221706932521687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1.52997</v>
      </c>
      <c r="C19" s="8" t="s">
        <v>19</v>
      </c>
    </row>
    <row r="20" spans="1:2" x14ac:dyDescent="0.25">
      <c r="A20" t="s">
        <v>20</v>
      </c>
      <c r="B20" s="10">
        <f>B17+B19*B18</f>
        <v>0.13412835</v>
      </c>
    </row>
    <row r="21" spans="1:3" x14ac:dyDescent="0.25">
      <c r="A21" t="s">
        <v>21</v>
      </c>
      <c r="B21" s="6">
        <v>0.05831588388192738</v>
      </c>
      <c r="C21" s="8" t="s">
        <v>22</v>
      </c>
    </row>
    <row r="22" spans="1:2" x14ac:dyDescent="0.25">
      <c r="A22" t="s">
        <v>23</v>
      </c>
      <c r="B22" s="11">
        <v>91259977728</v>
      </c>
    </row>
    <row r="23" spans="1:2" x14ac:dyDescent="0.25">
      <c r="A23" t="s">
        <v>24</v>
      </c>
      <c r="B23" s="11">
        <v>54537875000</v>
      </c>
    </row>
    <row r="24" spans="1:2" x14ac:dyDescent="0.25">
      <c r="A24" t="s">
        <v>25</v>
      </c>
      <c r="B24" s="10">
        <f>B22/(B22+B23)</f>
        <v>0.6259349916370464</v>
      </c>
    </row>
    <row r="25" spans="1:2" x14ac:dyDescent="0.25">
      <c r="A25" t="s">
        <v>26</v>
      </c>
      <c r="B25" s="10">
        <f>1-B24</f>
        <v>0.37406500836295364</v>
      </c>
    </row>
    <row r="26" spans="1:2" x14ac:dyDescent="0.25">
      <c r="A26" t="s">
        <v>27</v>
      </c>
      <c r="B26" s="12">
        <f>B24*B20+B25*B21*(1-B8)</f>
        <v>0.10221706932521687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19207544000</v>
      </c>
      <c r="C29" s="8" t="s">
        <v>30</v>
      </c>
    </row>
    <row r="30" spans="1:2" x14ac:dyDescent="0.25">
      <c r="A30" t="s">
        <v>31</v>
      </c>
      <c r="B30" s="11">
        <v>-78175287000</v>
      </c>
    </row>
    <row r="31" spans="1:2" x14ac:dyDescent="0.25">
      <c r="A31" t="s">
        <v>32</v>
      </c>
      <c r="B31" s="13">
        <v>955756926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28811316000</v>
      </c>
      <c r="C6" s="18">
        <f>B6*(1+C5)</f>
        <v>43216974000</v>
      </c>
      <c r="D6" s="18">
        <f>C6*(1+D5)</f>
        <v>64825461000</v>
      </c>
      <c r="E6" s="18">
        <f>D6*(1+E5)</f>
        <v>97238191500</v>
      </c>
      <c r="F6" s="18">
        <f>E6*(1+F5)</f>
        <v>145857287250</v>
      </c>
    </row>
    <row r="7" spans="1:6" x14ac:dyDescent="0.25">
      <c r="A7" t="s">
        <v>5</v>
      </c>
      <c r="B7" s="10">
        <f>Assumptions!B7</f>
        <v>0.03887625602518325</v>
      </c>
      <c r="C7" s="10">
        <f>Assumptions!B7</f>
        <v>0.03887625602518325</v>
      </c>
      <c r="D7" s="10">
        <f>Assumptions!B7</f>
        <v>0.03887625602518325</v>
      </c>
      <c r="E7" s="10">
        <f>Assumptions!B7</f>
        <v>0.03887625602518325</v>
      </c>
      <c r="F7" s="10">
        <f>Assumptions!B7</f>
        <v>0.03887625602518325</v>
      </c>
    </row>
    <row r="8" spans="1:6" x14ac:dyDescent="0.25">
      <c r="A8" t="s">
        <v>44</v>
      </c>
      <c r="B8" s="18">
        <f>B6*B7</f>
        <v>1120076097.2384586</v>
      </c>
      <c r="C8" s="18">
        <f>C6*C7</f>
        <v>1680114145.8576877</v>
      </c>
      <c r="D8" s="18">
        <f>D6*D7</f>
        <v>2520171218.786532</v>
      </c>
      <c r="E8" s="18">
        <f>E6*E7</f>
        <v>3780256828.1797976</v>
      </c>
      <c r="F8" s="18">
        <f>F6*F7</f>
        <v>5670385242.269696</v>
      </c>
    </row>
    <row r="9" spans="1:6" x14ac:dyDescent="0.25">
      <c r="A9" t="s">
        <v>45</v>
      </c>
      <c r="B9" s="18">
        <f>B8*(1-Assumptions!B8)</f>
        <v>937667024.9224718</v>
      </c>
      <c r="C9" s="18">
        <f>C8*(1-Assumptions!B8)</f>
        <v>1406500537.3837075</v>
      </c>
      <c r="D9" s="18">
        <f>D8*(1-Assumptions!B8)</f>
        <v>2109750806.0755615</v>
      </c>
      <c r="E9" s="18">
        <f>E8*(1-Assumptions!B8)</f>
        <v>3164626209.1133423</v>
      </c>
      <c r="F9" s="18">
        <f>F8*(1-Assumptions!B8)</f>
        <v>4746939313.670012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-288113160</v>
      </c>
      <c r="C11" s="18">
        <f>-C6*Assumptions!B10</f>
        <v>-432169740</v>
      </c>
      <c r="D11" s="18">
        <f>-D6*Assumptions!B10</f>
        <v>-648254610</v>
      </c>
      <c r="E11" s="18">
        <f>-E6*Assumptions!B10</f>
        <v>-972381915</v>
      </c>
      <c r="F11" s="18">
        <f>-F6*Assumptions!B10</f>
        <v>-1458572872.5</v>
      </c>
    </row>
    <row r="12" spans="1:6" x14ac:dyDescent="0.25">
      <c r="A12" t="s">
        <v>48</v>
      </c>
      <c r="B12" s="18">
        <f>-(B6-Assumptions!B29)*Assumptions!B11</f>
        <v>1429409025.214085</v>
      </c>
      <c r="C12" s="18">
        <f>-(C6-B6)*Assumptions!B11</f>
        <v>2144113537.8211277</v>
      </c>
      <c r="D12" s="18">
        <f>-(D6-C6)*Assumptions!B11</f>
        <v>3216170306.731692</v>
      </c>
      <c r="E12" s="18">
        <f>-(E6-D6)*Assumptions!B11</f>
        <v>4824255460.097537</v>
      </c>
      <c r="F12" s="18">
        <f>-(F6-E6)*Assumptions!B11</f>
        <v>7236383190.146306</v>
      </c>
    </row>
    <row r="13" spans="1:6" x14ac:dyDescent="0.25">
      <c r="A13" s="19" t="s">
        <v>49</v>
      </c>
      <c r="B13" s="20">
        <f>B9+B10+B11+B12</f>
        <v>2078962890.1365569</v>
      </c>
      <c r="C13" s="20">
        <f>C9+C10+C11+C12</f>
        <v>3118444335.204835</v>
      </c>
      <c r="D13" s="20">
        <f>D9+D10+D11+D12</f>
        <v>4677666502.807253</v>
      </c>
      <c r="E13" s="20">
        <f>E9+E10+E11+E12</f>
        <v>7016499754.210879</v>
      </c>
      <c r="F13" s="20">
        <f>F9+F10+F11+F12</f>
        <v>10524749631.316319</v>
      </c>
    </row>
    <row r="14" spans="1:6" x14ac:dyDescent="0.25">
      <c r="A14" t="s">
        <v>50</v>
      </c>
      <c r="B14" s="21">
        <f>1/(1+Assumptions!$B$26)^(1-0.5*Assumptions!$B$32)</f>
        <v>0.952503178983719</v>
      </c>
      <c r="C14" s="21">
        <f>1/(1+Assumptions!$B$26)^(2-0.5*Assumptions!$B$32)</f>
        <v>0.8641702306124203</v>
      </c>
      <c r="D14" s="21">
        <f>1/(1+Assumptions!$B$26)^(3-0.5*Assumptions!$B$32)</f>
        <v>0.784029076179586</v>
      </c>
      <c r="E14" s="21">
        <f>1/(1+Assumptions!$B$26)^(4-0.5*Assumptions!$B$32)</f>
        <v>0.7113200276054268</v>
      </c>
      <c r="F14" s="21">
        <f>1/(1+Assumptions!$B$26)^(5-0.5*Assumptions!$B$32)</f>
        <v>0.6453538485308531</v>
      </c>
    </row>
    <row r="15" spans="1:6" x14ac:dyDescent="0.25">
      <c r="A15" s="19" t="s">
        <v>51</v>
      </c>
      <c r="B15" s="20">
        <f>B13*B14</f>
        <v>1980218761.8442504</v>
      </c>
      <c r="C15" s="20">
        <f>C13*C14</f>
        <v>2694866760.305958</v>
      </c>
      <c r="D15" s="20">
        <f>D13*D14</f>
        <v>3667426546.872165</v>
      </c>
      <c r="E15" s="20">
        <f>E13*E14</f>
        <v>4990976798.858753</v>
      </c>
      <c r="F15" s="20">
        <f>F13*F14</f>
        <v>6792187679.393663</v>
      </c>
    </row>
    <row r="17" spans="1:2" x14ac:dyDescent="0.25">
      <c r="A17" s="22" t="s">
        <v>52</v>
      </c>
      <c r="B17" s="23">
        <f>SUM(B15:F15)</f>
        <v>20125676547.274788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10524749631.316319</v>
      </c>
    </row>
    <row r="5" spans="1:2" x14ac:dyDescent="0.25">
      <c r="A5" t="s">
        <v>56</v>
      </c>
      <c r="B5" s="18">
        <f>IF(Assumptions!$B$33=0,B4,B4-Forecast!F11-Forecast!F10-Forecast!F12)</f>
        <v>4746939313.670012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0.2445775462458159</v>
      </c>
    </row>
    <row r="7" spans="1:2" x14ac:dyDescent="0.25">
      <c r="A7" t="s">
        <v>58</v>
      </c>
      <c r="B7" s="18">
        <f>-MAX(Forecast!F9,0)*B6</f>
        <v>-1160994769.515209</v>
      </c>
    </row>
    <row r="8" spans="1:2" x14ac:dyDescent="0.25">
      <c r="A8" t="s">
        <v>59</v>
      </c>
      <c r="B8" s="18">
        <f>IF(OR(Assumptions!$B$33=0,Assumptions!B12&lt;=0),B5,MAX(B5+B7,0))</f>
        <v>3585944544.1548033</v>
      </c>
    </row>
    <row r="9" spans="1:2" x14ac:dyDescent="0.25">
      <c r="A9" t="s">
        <v>60</v>
      </c>
      <c r="B9" s="18">
        <f>B8*(1+Assumptions!B12)/(Assumptions!B26-Assumptions!B12)</f>
        <v>47600785550.123566</v>
      </c>
    </row>
    <row r="10" spans="1:2" x14ac:dyDescent="0.25">
      <c r="A10" t="s">
        <v>61</v>
      </c>
      <c r="B10" s="18">
        <f>B9/(1+Assumptions!B26)^(5-0.5*Assumptions!B32)</f>
        <v>30719350147.864063</v>
      </c>
    </row>
    <row r="11" spans="1:2" x14ac:dyDescent="0.25">
      <c r="A11" t="s">
        <v>62</v>
      </c>
      <c r="B11" s="18">
        <f>Forecast!B17+B10</f>
        <v>50845026695.138855</v>
      </c>
    </row>
    <row r="12" spans="1:2" x14ac:dyDescent="0.25">
      <c r="A12" t="s">
        <v>63</v>
      </c>
      <c r="B12" s="18">
        <f>-Assumptions!B30</f>
        <v>78175287000</v>
      </c>
    </row>
    <row r="13" spans="1:2" x14ac:dyDescent="0.25">
      <c r="A13" t="s">
        <v>64</v>
      </c>
      <c r="B13" s="18">
        <f>B11+B12</f>
        <v>129020313695.13885</v>
      </c>
    </row>
    <row r="14" spans="1:2" x14ac:dyDescent="0.25">
      <c r="A14" s="19" t="s">
        <v>65</v>
      </c>
      <c r="B14" s="24">
        <f>B13/Assumptions!B31</f>
        <v>134.992810604167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5670385242.269696</v>
      </c>
    </row>
    <row r="18" spans="1:2" x14ac:dyDescent="0.25">
      <c r="A18" t="s">
        <v>60</v>
      </c>
      <c r="B18" s="18">
        <f>B17*Assumptions!B13</f>
        <v>113407704845.39392</v>
      </c>
    </row>
    <row r="19" spans="1:2" x14ac:dyDescent="0.25">
      <c r="A19" t="s">
        <v>61</v>
      </c>
      <c r="B19" s="18">
        <f>B18/(1+Assumptions!B26)^(5-0.5*Assumptions!B32)</f>
        <v>73188098775.02605</v>
      </c>
    </row>
    <row r="20" spans="1:2" x14ac:dyDescent="0.25">
      <c r="A20" t="s">
        <v>62</v>
      </c>
      <c r="B20" s="18">
        <f>Forecast!B17+B19</f>
        <v>93313775322.30084</v>
      </c>
    </row>
    <row r="21" spans="1:2" x14ac:dyDescent="0.25">
      <c r="A21" t="s">
        <v>63</v>
      </c>
      <c r="B21" s="18">
        <f>-Assumptions!B30</f>
        <v>78175287000</v>
      </c>
    </row>
    <row r="22" spans="1:2" x14ac:dyDescent="0.25">
      <c r="A22" t="s">
        <v>64</v>
      </c>
      <c r="B22" s="18">
        <f>B20+B21</f>
        <v>171489062322.30084</v>
      </c>
    </row>
    <row r="23" spans="1:2" x14ac:dyDescent="0.25">
      <c r="A23" s="19" t="s">
        <v>65</v>
      </c>
      <c r="B23" s="25">
        <f>B22/Assumptions!B31</f>
        <v>179.42748585669244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98.81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134.992810604167</v>
      </c>
    </row>
    <row r="29" spans="1:2" x14ac:dyDescent="0.25">
      <c r="A29" s="19" t="s">
        <v>73</v>
      </c>
      <c r="B29" s="12">
        <f>B28/B26-1</f>
        <v>0.36618571606281747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0.082217</v>
      </c>
      <c r="B5" s="31">
        <v>147.053899404993</v>
      </c>
      <c r="C5" s="31">
        <v>147.26556975176442</v>
      </c>
      <c r="D5" s="31">
        <v>147.4772400985358</v>
      </c>
      <c r="E5" s="31">
        <v>147.6889104453072</v>
      </c>
      <c r="F5" s="31">
        <v>147.90058079207856</v>
      </c>
    </row>
    <row r="6" spans="1:6" x14ac:dyDescent="0.25">
      <c r="A6" s="30">
        <v>0.092217</v>
      </c>
      <c r="B6" s="31">
        <v>140.21116760915208</v>
      </c>
      <c r="C6" s="31">
        <v>140.39223283339712</v>
      </c>
      <c r="D6" s="31">
        <v>140.57329805764218</v>
      </c>
      <c r="E6" s="31">
        <v>140.7543632818872</v>
      </c>
      <c r="F6" s="31">
        <v>140.93542850613224</v>
      </c>
    </row>
    <row r="7" spans="1:6" x14ac:dyDescent="0.25">
      <c r="A7" s="30">
        <v>0.102217</v>
      </c>
      <c r="B7" s="31">
        <v>134.67927081832178</v>
      </c>
      <c r="C7" s="31">
        <v>134.83605820692796</v>
      </c>
      <c r="D7" s="32">
        <v>134.99284559553413</v>
      </c>
      <c r="E7" s="31">
        <v>135.1496329841403</v>
      </c>
      <c r="F7" s="31">
        <v>135.3064203727465</v>
      </c>
    </row>
    <row r="8" spans="1:6" x14ac:dyDescent="0.25">
      <c r="A8" s="30">
        <v>0.112217</v>
      </c>
      <c r="B8" s="31">
        <v>130.10984285096478</v>
      </c>
      <c r="C8" s="31">
        <v>130.24697039440076</v>
      </c>
      <c r="D8" s="31">
        <v>130.3840979378367</v>
      </c>
      <c r="E8" s="31">
        <v>130.5212254812727</v>
      </c>
      <c r="F8" s="31">
        <v>130.65835302470865</v>
      </c>
    </row>
    <row r="9" spans="1:6" x14ac:dyDescent="0.25">
      <c r="A9" s="30">
        <v>0.122217</v>
      </c>
      <c r="B9" s="31">
        <v>126.26838462241275</v>
      </c>
      <c r="C9" s="31">
        <v>126.38932151789385</v>
      </c>
      <c r="D9" s="31">
        <v>126.51025841337493</v>
      </c>
      <c r="E9" s="31">
        <v>126.63119530885601</v>
      </c>
      <c r="F9" s="31">
        <v>126.7521322043371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19207544000</v>
      </c>
      <c r="C5" s="18">
        <v>21640288000</v>
      </c>
      <c r="D5" s="18">
        <v>14322870000</v>
      </c>
      <c r="E5" s="18">
        <v>5565056000</v>
      </c>
      <c r="F5" s="8" t="s">
        <v>84</v>
      </c>
    </row>
    <row r="6" spans="1:6" x14ac:dyDescent="0.25">
      <c r="A6" t="s">
        <v>44</v>
      </c>
      <c r="B6" s="18">
        <v>490198000</v>
      </c>
      <c r="C6" s="18">
        <v>926197000</v>
      </c>
      <c r="D6" s="18">
        <v>2138148000</v>
      </c>
      <c r="E6" s="18">
        <v>-345578000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160765000</v>
      </c>
      <c r="C8" s="18">
        <v>141536000</v>
      </c>
      <c r="D8" s="18">
        <v>108393000</v>
      </c>
      <c r="E8" s="18">
        <v>85056000</v>
      </c>
      <c r="F8" s="8" t="s">
        <v>89</v>
      </c>
    </row>
    <row r="9" spans="1:6" x14ac:dyDescent="0.25">
      <c r="A9" t="s">
        <v>90</v>
      </c>
      <c r="B9" s="18">
        <v>-2845692000</v>
      </c>
      <c r="C9" s="18">
        <v>-1089112000</v>
      </c>
      <c r="D9" s="18">
        <v>-1428671000</v>
      </c>
      <c r="E9" s="18">
        <v>1430880000</v>
      </c>
      <c r="F9" s="8" t="s">
        <v>91</v>
      </c>
    </row>
    <row r="10" spans="1:6" x14ac:dyDescent="0.25">
      <c r="A10" t="s">
        <v>92</v>
      </c>
      <c r="B10" s="18">
        <v>54537875000</v>
      </c>
      <c r="C10" s="18">
        <v>50816440000</v>
      </c>
      <c r="D10" s="18">
        <v>49387579000</v>
      </c>
      <c r="E10" s="18">
        <v>44074997000</v>
      </c>
      <c r="F10" s="8" t="s">
        <v>93</v>
      </c>
    </row>
    <row r="11" spans="1:6" x14ac:dyDescent="0.25">
      <c r="A11" t="s">
        <v>94</v>
      </c>
      <c r="B11" s="18">
        <v>132713162000</v>
      </c>
      <c r="C11" s="18">
        <v>112557690000</v>
      </c>
      <c r="D11" s="18">
        <v>108568225000</v>
      </c>
      <c r="E11" s="18">
        <v>12823556000</v>
      </c>
      <c r="F11" s="8" t="s">
        <v>95</v>
      </c>
    </row>
    <row r="12" spans="1:6" x14ac:dyDescent="0.25">
      <c r="A12" t="s">
        <v>32</v>
      </c>
      <c r="B12" s="34">
        <v>955756926</v>
      </c>
      <c r="C12" s="34">
        <v>938904600</v>
      </c>
      <c r="D12" s="34">
        <v>911787433</v>
      </c>
      <c r="E12" s="34">
        <v>749504970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86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