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<sst xmlns="http://schemas.openxmlformats.org/spreadsheetml/2006/main" count="120" uniqueCount="107">
  <si>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KLA Corporation (KLAC)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</si>
  <si>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</si>
  <si>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</si>
  <si>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</si>
  <si>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</si>
  <si>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</si>
  <si>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</si>
  <si>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</si>
  <si>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</si>
  <si>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</si>
  <si>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</si>
  <si>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</si>
  <si>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</si>
  <si>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</si>
  <si>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</si>
  <si>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</si>
  <si>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</si>
  <si>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</si>
  <si>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</si>
  <si>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</si>
  <si>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</si>
  <si>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</si>
  <si>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</si>
  <si>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</si>
  <si>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19.9x interest cover.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</si>
  <si>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</si>
  <si>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</si>
  <si>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</si>
  <si>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</si>
  <si>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</si>
  <si>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</si>
  <si>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</si>
  <si>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</si>
  <si>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</si>
  <si>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</si>
  <si>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</si>
  <si>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</si>
  <si>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</si>
  <si>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</si>
  <si>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</si>
  <si>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</si>
  <si>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</si>
  <si>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</si>
  <si>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</si>
  <si>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</si>
  <si>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</si>
  <si>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</si>
  <si>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</si>
  <si>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</si>
  <si>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</si>
  <si>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</si>
  <si>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</si>
  <si>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</si>
  <si>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</si>
  <si>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</si>
  <si>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</si>
  <si>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</si>
  <si>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</si>
  <si>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</si>
  <si>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</si>
  <si>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</si>
  <si>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</si>
  <si>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</si>
  <si>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</si>
  <si>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</si>
  <si>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</si>
  <si>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</si>
  <si>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</si>
  <si>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</si>
  <si>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</si>
  <si>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</si>
  <si>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</si>
  <si>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</si>
  <si>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</si>
  <si>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</si>
  <si>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</si>
  <si>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</si>
  <si>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</si>
  <si>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</si>
  <si>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</si>
  <si>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</si>
  <si>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</si>
  <si>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</si>
  <si>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</si>
  <si>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</si>
  <si>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</si>
  <si>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</si>
  <si>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</si>
  <si>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</si>
  <si>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</si>
  <si>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</si>
  <si>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</si>
  <si>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</si>
  <si>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</si>
  <si>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</si>
  <si>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</si>
  <si>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</si>
  <si>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</si>
  <si>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</si>
  <si>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</si>
  <si>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</si>
  <si>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</si>
  <si>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</si>
  <si>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</si>
  <si>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</si>
  <si>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34.2x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</si>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</sst>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0.3879926618670706</v>
      </c>
    </row>
    <row r="7" spans="1:2" x14ac:dyDescent="0.25">
      <c r="A7" t="s">
        <v>4</v>
      </c>
      <c r="B7" s="5">
        <v>0.3951156546230174</v>
      </c>
    </row>
    <row r="8" spans="1:2" x14ac:dyDescent="0.25">
      <c r="A8" t="s">
        <v>5</v>
      </c>
      <c r="B8" s="5">
        <v>0.12984739999593686</v>
      </c>
    </row>
    <row r="9" spans="1:2" x14ac:dyDescent="0.25">
      <c r="A9" t="s">
        <v>6</v>
      </c>
      <c r="B9" s="5">
        <v>0.03548066464129448</v>
      </c>
    </row>
    <row r="10" spans="1:3" x14ac:dyDescent="0.25">
      <c r="A10" t="s">
        <v>7</v>
      </c>
      <c r="B10" s="5">
        <v>0.029019500773303914</v>
      </c>
      <c r="C10" s="6" t="s">
        <v>8</v>
      </c>
    </row>
    <row r="11" spans="1:2" x14ac:dyDescent="0.25">
      <c r="A11" t="s">
        <v>9</v>
      </c>
      <c r="B11" s="5">
        <v>0.4241370381575337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0.3985250294666458</v>
      </c>
      <c r="C14" s="6" t="s">
        <v>13</v>
      </c>
    </row>
    <row r="15" spans="1:3" x14ac:dyDescent="0.25">
      <c r="A15" t="s">
        <v>14</v>
      </c>
      <c r="B15" s="5">
        <v>0.03548066464129448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1.29949</v>
      </c>
      <c r="C19" s="6" t="s">
        <v>21</v>
      </c>
    </row>
    <row r="20" spans="1:2" x14ac:dyDescent="0.25">
      <c r="A20" t="s">
        <v>22</v>
      </c>
      <c r="B20" s="9">
        <f>B17+B19*B18</f>
        <v>0.103908427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205750796288</v>
      </c>
    </row>
    <row r="23" spans="1:2" x14ac:dyDescent="0.25">
      <c r="A23" t="s">
        <v>26</v>
      </c>
      <c r="B23" s="10">
        <v>6151713000</v>
      </c>
    </row>
    <row r="24" spans="1:2" x14ac:dyDescent="0.25">
      <c r="A24" t="s">
        <v>27</v>
      </c>
      <c r="B24" s="9">
        <f>B22/(B22+B23)</f>
        <v>0.9709691356621024</v>
      </c>
    </row>
    <row r="25" spans="1:2" x14ac:dyDescent="0.25">
      <c r="A25" t="s">
        <v>28</v>
      </c>
      <c r="B25" s="9">
        <f>1-B24</f>
        <v>0.02903086433789759</v>
      </c>
    </row>
    <row r="26" spans="1:2" x14ac:dyDescent="0.25">
      <c r="A26" t="s">
        <v>29</v>
      </c>
      <c r="B26" s="11">
        <f>B24*B20+B25*B21*(1-B8)</f>
        <v>0.10222920782572494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13579476000</v>
      </c>
      <c r="C29" s="6" t="s">
        <v>32</v>
      </c>
    </row>
    <row r="30" spans="1:2" x14ac:dyDescent="0.25">
      <c r="A30" t="s">
        <v>33</v>
      </c>
      <c r="B30" s="10">
        <v>1249305000</v>
      </c>
    </row>
    <row r="31" spans="1:2" x14ac:dyDescent="0.25">
      <c r="A31" t="s">
        <v>34</v>
      </c>
      <c r="B31" s="12">
        <v>1319633000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0.3879926618670706</v>
      </c>
      <c r="C5" s="5">
        <v>0.18351366427466909</v>
      </c>
      <c r="D5" s="5">
        <v>0.16369945624033544</v>
      </c>
      <c r="E5" s="5">
        <v>0.14388524820600182</v>
      </c>
      <c r="F5" s="5">
        <v>0.12407104017166817</v>
      </c>
      <c r="G5" s="5">
        <v>0.10425683213733454</v>
      </c>
      <c r="H5" s="5">
        <v>0.08444262410300091</v>
      </c>
      <c r="I5" s="5">
        <v>0.06462841606866726</v>
      </c>
      <c r="J5" s="5">
        <v>0.04481420803433364</v>
      </c>
      <c r="K5" s="5">
        <v>0.024999999999999994</v>
      </c>
    </row>
    <row r="6" spans="1:11" x14ac:dyDescent="0.25">
      <c r="A6" t="s">
        <v>50</v>
      </c>
      <c r="B6" s="18">
        <f>Assumptions!B29*(1+B5)</f>
        <v>18848213040</v>
      </c>
      <c r="C6" s="18">
        <f>B6*(1+C5)</f>
        <v>22307117680</v>
      </c>
      <c r="D6" s="18">
        <f>C6*(1+D5)</f>
        <v>25958780714.505177</v>
      </c>
      <c r="E6" s="18">
        <f>D6*(1+E5)</f>
        <v>29693866320.736927</v>
      </c>
      <c r="F6" s="18">
        <f>E6*(1+F5)</f>
        <v>33378015201.869225</v>
      </c>
      <c r="G6" s="18">
        <f>F6*(1+G5)</f>
        <v>36857901329.8479</v>
      </c>
      <c r="H6" s="18">
        <f>G6*(1+H5)</f>
        <v>39970279237.06975</v>
      </c>
      <c r="I6" s="18">
        <f>H6*(1+I5)</f>
        <v>42553495073.9839</v>
      </c>
      <c r="J6" s="18">
        <f>I6*(1+J5)</f>
        <v>44460496254.81741</v>
      </c>
      <c r="K6" s="18">
        <f>J6*(1+K5)</f>
        <v>45572008661.18784</v>
      </c>
    </row>
    <row r="7" spans="1:11" x14ac:dyDescent="0.25">
      <c r="A7" t="s">
        <v>4</v>
      </c>
      <c r="B7" s="9">
        <f>Assumptions!B7</f>
        <v>0.3951156546230174</v>
      </c>
      <c r="C7" s="9">
        <f>Assumptions!B7</f>
        <v>0.3951156546230174</v>
      </c>
      <c r="D7" s="9">
        <f>Assumptions!B7</f>
        <v>0.3951156546230174</v>
      </c>
      <c r="E7" s="9">
        <f>Assumptions!B7</f>
        <v>0.3951156546230174</v>
      </c>
      <c r="F7" s="9">
        <f>Assumptions!B7</f>
        <v>0.3951156546230174</v>
      </c>
      <c r="G7" s="9">
        <f>Assumptions!B7</f>
        <v>0.3951156546230174</v>
      </c>
      <c r="H7" s="9">
        <f>Assumptions!B7</f>
        <v>0.3951156546230174</v>
      </c>
      <c r="I7" s="9">
        <f>Assumptions!B7</f>
        <v>0.3951156546230174</v>
      </c>
      <c r="J7" s="9">
        <f>Assumptions!B7</f>
        <v>0.3951156546230174</v>
      </c>
      <c r="K7" s="9">
        <f>Assumptions!B7</f>
        <v>0.3951156546230174</v>
      </c>
    </row>
    <row r="8" spans="1:11" x14ac:dyDescent="0.25">
      <c r="A8" t="s">
        <v>51</v>
      </c>
      <c r="B8" s="18">
        <f>B6*B7</f>
        <v>7447224033.773693</v>
      </c>
      <c r="C8" s="18">
        <f>C6*C7</f>
        <v>8813891404.885885</v>
      </c>
      <c r="D8" s="18">
        <f>D6*D7</f>
        <v>10256720635.227072</v>
      </c>
      <c r="E8" s="18">
        <f>E6*E7</f>
        <v>11732511429.60634</v>
      </c>
      <c r="F8" s="18">
        <f>F6*F7</f>
        <v>13188176326.503586</v>
      </c>
      <c r="G8" s="18">
        <f>G6*G7</f>
        <v>14563133811.973436</v>
      </c>
      <c r="H8" s="18">
        <f>H6*H7</f>
        <v>15792883046.219614</v>
      </c>
      <c r="I8" s="18">
        <f>I6*I7</f>
        <v>16813552062.654495</v>
      </c>
      <c r="J8" s="18">
        <f>J6*J7</f>
        <v>17567038082.586395</v>
      </c>
      <c r="K8" s="18">
        <f>K6*K7</f>
        <v>18006214034.651054</v>
      </c>
    </row>
    <row r="9" spans="1:11" x14ac:dyDescent="0.25">
      <c r="A9" t="s">
        <v>52</v>
      </c>
      <c r="B9" s="18">
        <f>B8*(1-Assumptions!B8)</f>
        <v>6480221355.800926</v>
      </c>
      <c r="C9" s="18">
        <f>C8*(1-Assumptions!B8)</f>
        <v>7669430522.114918</v>
      </c>
      <c r="D9" s="18">
        <f>D8*(1-Assumptions!B8)</f>
        <v>8924912128.258163</v>
      </c>
      <c r="E9" s="18">
        <f>E8*(1-Assumptions!B8)</f>
        <v>10209075325.049345</v>
      </c>
      <c r="F9" s="18">
        <f>F8*(1-Assumptions!B8)</f>
        <v>11475725919.81913</v>
      </c>
      <c r="G9" s="18">
        <f>G8*(1-Assumptions!B8)</f>
        <v>12672148750.695768</v>
      </c>
      <c r="H9" s="18">
        <f>H8*(1-Assumptions!B8)</f>
        <v>13742218244.228086</v>
      </c>
      <c r="I9" s="18">
        <f>I8*(1-Assumptions!B8)</f>
        <v>14630356042.622488</v>
      </c>
      <c r="J9" s="18">
        <f>J8*(1-Assumptions!B8)</f>
        <v>15286003861.932943</v>
      </c>
      <c r="K9" s="18">
        <f>K8*(1-Assumptions!B8)</f>
        <v>15668153958.481266</v>
      </c>
    </row>
    <row r="10" spans="1:11" x14ac:dyDescent="0.25">
      <c r="A10" t="s">
        <v>53</v>
      </c>
      <c r="B10" s="18">
        <f>B6*Assumptions!B9</f>
        <v>668747125.9599135</v>
      </c>
      <c r="C10" s="18">
        <f>C6*Assumptions!B9</f>
        <v>791471361.5179709</v>
      </c>
      <c r="D10" s="18">
        <f>D6*Assumptions!B9</f>
        <v>921034793.0282608</v>
      </c>
      <c r="E10" s="18">
        <f>E6*Assumptions!B9</f>
        <v>1053558112.8294957</v>
      </c>
      <c r="F10" s="18">
        <f>F6*Assumptions!B9</f>
        <v>1184274163.769551</v>
      </c>
      <c r="G10" s="18">
        <f>G6*Assumptions!B9</f>
        <v>1307742836.4662552</v>
      </c>
      <c r="H10" s="18">
        <f>H6*Assumptions!B9</f>
        <v>1418172073.2293675</v>
      </c>
      <c r="I10" s="18">
        <f>I6*Assumptions!B9</f>
        <v>1509826288.0349994</v>
      </c>
      <c r="J10" s="18">
        <f>J6*Assumptions!B9</f>
        <v>1577487957.4027057</v>
      </c>
      <c r="K10" s="18">
        <f>K6*Assumptions!B9</f>
        <v>1616925156.3377733</v>
      </c>
    </row>
    <row r="11" spans="1:11" x14ac:dyDescent="0.25">
      <c r="A11" t="s">
        <v>54</v>
      </c>
      <c r="B11" s="18">
        <f>-B6*B19</f>
        <v>-546965732.8896769</v>
      </c>
      <c r="C11" s="18">
        <f>-C6*C19</f>
        <v>-716812909.9753697</v>
      </c>
      <c r="D11" s="18">
        <f>-D6*D19</f>
        <v>-914998730.1101711</v>
      </c>
      <c r="E11" s="18">
        <f>-E6*E19</f>
        <v>-1139129735.9218702</v>
      </c>
      <c r="F11" s="18">
        <f>-F6*F19</f>
        <v>-1384412550.2102344</v>
      </c>
      <c r="G11" s="18">
        <f>-G6*G19</f>
        <v>-1643534297.2969322</v>
      </c>
      <c r="H11" s="18">
        <f>-H6*H19</f>
        <v>-1906798865.5508964</v>
      </c>
      <c r="I11" s="18">
        <f>-I6*I19</f>
        <v>-2162557434.7907696</v>
      </c>
      <c r="J11" s="18">
        <f>-J6*J19</f>
        <v>-2397934923.289897</v>
      </c>
      <c r="K11" s="18">
        <f>-K6*K19</f>
        <v>-2599809090.845618</v>
      </c>
    </row>
    <row r="12" spans="1:11" x14ac:dyDescent="0.25">
      <c r="A12" t="s">
        <v>55</v>
      </c>
      <c r="B12" s="18">
        <f>-(B6-Assumptions!B29)*Assumptions!B11</f>
        <v>-2234666522.976491</v>
      </c>
      <c r="C12" s="18">
        <f>-(C6-B6)*Assumptions!B11</f>
        <v>-1467049569.2789502</v>
      </c>
      <c r="D12" s="18">
        <f>-(D6-C6)*Assumptions!B11</f>
        <v>-1548805543.8043773</v>
      </c>
      <c r="E12" s="18">
        <f>-(E6-D6)*Assumptions!B11</f>
        <v>-1584188146.2919707</v>
      </c>
      <c r="F12" s="18">
        <f>-(F6-E6)*Assumptions!B11</f>
        <v>-1562583994.5748444</v>
      </c>
      <c r="G12" s="18">
        <f>-(G6-F6)*Assumptions!B11</f>
        <v>-1475948595.4463637</v>
      </c>
      <c r="H12" s="18">
        <f>-(H6-G6)*Assumptions!B11</f>
        <v>-1320074747.1960175</v>
      </c>
      <c r="I12" s="18">
        <f>-(I6-H6)*Assumptions!B11</f>
        <v>-1095637513.990404</v>
      </c>
      <c r="J12" s="18">
        <f>-(J6-I6)*Assumptions!B11</f>
        <v>-808829832.6016448</v>
      </c>
      <c r="K12" s="18">
        <f>-(K6-J6)*Assumptions!B11</f>
        <v>-471433579.91330713</v>
      </c>
    </row>
    <row r="13" spans="1:11" x14ac:dyDescent="0.25">
      <c r="A13" s="19" t="s">
        <v>56</v>
      </c>
      <c r="B13" s="20">
        <f>B9+B10+B11+B12</f>
        <v>4367336225.894671</v>
      </c>
      <c r="C13" s="20">
        <f>C9+C10+C11+C12</f>
        <v>6277039404.378569</v>
      </c>
      <c r="D13" s="20">
        <f>D9+D10+D11+D12</f>
        <v>7382142647.371877</v>
      </c>
      <c r="E13" s="20">
        <f>E9+E10+E11+E12</f>
        <v>8539315555.664999</v>
      </c>
      <c r="F13" s="20">
        <f>F9+F10+F11+F12</f>
        <v>9713003538.803602</v>
      </c>
      <c r="G13" s="20">
        <f>G9+G10+G11+G12</f>
        <v>10860408694.418728</v>
      </c>
      <c r="H13" s="20">
        <f>H9+H10+H11+H12</f>
        <v>11933516704.71054</v>
      </c>
      <c r="I13" s="20">
        <f>I9+I10+I11+I12</f>
        <v>12881987381.876314</v>
      </c>
      <c r="J13" s="20">
        <f>J9+J10+J11+J12</f>
        <v>13656727063.444109</v>
      </c>
      <c r="K13" s="20">
        <f>K9+K10+K11+K12</f>
        <v>14213836444.060114</v>
      </c>
    </row>
    <row r="14" spans="1:11" x14ac:dyDescent="0.25">
      <c r="A14" t="s">
        <v>57</v>
      </c>
      <c r="B14" s="21">
        <f>1/(1+Assumptions!$B$26)^(1-0.5*Assumptions!$B$32)</f>
        <v>0.9524979341616472</v>
      </c>
      <c r="C14" s="21">
        <f>1/(1+Assumptions!$B$26)^(2-0.5*Assumptions!$B$32)</f>
        <v>0.8641559554029238</v>
      </c>
      <c r="D14" s="21">
        <f>1/(1+Assumptions!$B$26)^(3-0.5*Assumptions!$B$32)</f>
        <v>0.7840074906992999</v>
      </c>
      <c r="E14" s="21">
        <f>1/(1+Assumptions!$B$26)^(4-0.5*Assumptions!$B$32)</f>
        <v>0.711292610586727</v>
      </c>
      <c r="F14" s="21">
        <f>1/(1+Assumptions!$B$26)^(5-0.5*Assumptions!$B$32)</f>
        <v>0.6453218673000275</v>
      </c>
      <c r="G14" s="21">
        <f>1/(1+Assumptions!$B$26)^(6-0.5*Assumptions!$B$32)</f>
        <v>0.585469757758461</v>
      </c>
      <c r="H14" s="21">
        <f>1/(1+Assumptions!$B$26)^(7-0.5*Assumptions!$B$32)</f>
        <v>0.531168792844247</v>
      </c>
      <c r="I14" s="21">
        <f>1/(1+Assumptions!$B$26)^(8-0.5*Assumptions!$B$32)</f>
        <v>0.4819041167417792</v>
      </c>
      <c r="J14" s="21">
        <f>1/(1+Assumptions!$B$26)^(9-0.5*Assumptions!$B$32)</f>
        <v>0.4372086253206726</v>
      </c>
      <c r="K14" s="21">
        <f>1/(1+Assumptions!$B$26)^(10-0.5*Assumptions!$B$32)</f>
        <v>0.39665853727748457</v>
      </c>
    </row>
    <row r="15" spans="1:11" x14ac:dyDescent="0.25">
      <c r="A15" s="19" t="s">
        <v>58</v>
      </c>
      <c r="B15" s="20">
        <f>B13*B14</f>
        <v>4159878732.9539995</v>
      </c>
      <c r="C15" s="20">
        <f>C13*C14</f>
        <v>5424340983.592562</v>
      </c>
      <c r="D15" s="20">
        <f>D13*D14</f>
        <v>5787655132.950312</v>
      </c>
      <c r="E15" s="20">
        <f>E13*E14</f>
        <v>6073952054.212805</v>
      </c>
      <c r="F15" s="20">
        <f>F13*F14</f>
        <v>6268013580.752516</v>
      </c>
      <c r="G15" s="20">
        <f>G13*G14</f>
        <v>6358440847.479217</v>
      </c>
      <c r="H15" s="20">
        <f>H13*H14</f>
        <v>6338711662.427754</v>
      </c>
      <c r="I15" s="20">
        <f>I13*I14</f>
        <v>6207882751.1418495</v>
      </c>
      <c r="J15" s="20">
        <f>J13*J14</f>
        <v>5970838865.788025</v>
      </c>
      <c r="K15" s="20">
        <f>K13*K14</f>
        <v>5638039573.002288</v>
      </c>
    </row>
    <row r="17" spans="1:2" x14ac:dyDescent="0.25">
      <c r="A17" s="22" t="s">
        <v>59</v>
      </c>
      <c r="B17" s="23">
        <f>SUM(B15:K15)</f>
        <v>58227754184.30133</v>
      </c>
    </row>
    <row r="19" spans="1:11" x14ac:dyDescent="0.25">
      <c r="A19" t="s">
        <v>7</v>
      </c>
      <c r="B19" s="9">
        <f>Assumptions!$B$10+($B$20-Assumptions!$B$10)*0/9</f>
        <v>0.029019500773303914</v>
      </c>
      <c r="C19" s="9">
        <f>Assumptions!$B$10+($B$20-Assumptions!$B$10)*1/9</f>
        <v>0.03213382025675357</v>
      </c>
      <c r="D19" s="9">
        <f>Assumptions!$B$10+($B$20-Assumptions!$B$10)*2/9</f>
        <v>0.03524813974020323</v>
      </c>
      <c r="E19" s="9">
        <f>Assumptions!$B$10+($B$20-Assumptions!$B$10)*3/9</f>
        <v>0.03836245922365289</v>
      </c>
      <c r="F19" s="9">
        <f>Assumptions!$B$10+($B$20-Assumptions!$B$10)*4/9</f>
        <v>0.04147677870710254</v>
      </c>
      <c r="G19" s="9">
        <f>Assumptions!$B$10+($B$20-Assumptions!$B$10)*5/9</f>
        <v>0.0445910981905522</v>
      </c>
      <c r="H19" s="9">
        <f>Assumptions!$B$10+($B$20-Assumptions!$B$10)*6/9</f>
        <v>0.047705417674001854</v>
      </c>
      <c r="I19" s="9">
        <f>Assumptions!$B$10+($B$20-Assumptions!$B$10)*7/9</f>
        <v>0.050819737157451514</v>
      </c>
      <c r="J19" s="9">
        <f>Assumptions!$B$10+($B$20-Assumptions!$B$10)*8/9</f>
        <v>0.05393405664090117</v>
      </c>
      <c r="K19" s="9">
        <f>Assumptions!$B$10+($B$20-Assumptions!$B$10)*9/9</f>
        <v>0.05704837612435083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0.05704837612435083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14213836444.060114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15668153958.481266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0.06273131711064174</v>
      </c>
    </row>
    <row r="7" spans="1:2" x14ac:dyDescent="0.25">
      <c r="A7" t="s">
        <v>66</v>
      </c>
      <c r="B7" s="18">
        <f>-MAX(B5,0)*B6</f>
        <v>-982883934.5078449</v>
      </c>
    </row>
    <row r="8" spans="1:2" x14ac:dyDescent="0.25">
      <c r="A8" t="s">
        <v>67</v>
      </c>
      <c r="B8" s="18">
        <f>IF(OR(Assumptions!$B$33=0,Assumptions!B12&lt;=0),B5,MAX(B5+B7,0))</f>
        <v>14685270023.973421</v>
      </c>
    </row>
    <row r="9" spans="1:2" x14ac:dyDescent="0.25">
      <c r="A9" t="s">
        <v>68</v>
      </c>
      <c r="B9" s="18">
        <f>B8*(1+Assumptions!B12)/(Assumptions!B26-Assumptions!B12)</f>
        <v>194905557085.86234</v>
      </c>
    </row>
    <row r="10" spans="1:2" x14ac:dyDescent="0.25">
      <c r="A10" t="s">
        <v>69</v>
      </c>
      <c r="B10" s="18">
        <f>B9/(1+Assumptions!B26)^(10-0.5*Assumptions!B32)</f>
        <v>77310953180.93143</v>
      </c>
    </row>
    <row r="11" spans="1:2" x14ac:dyDescent="0.25">
      <c r="A11" t="s">
        <v>70</v>
      </c>
      <c r="B11" s="18">
        <f>Forecast!B17+B10</f>
        <v>135538707365.23276</v>
      </c>
    </row>
    <row r="12" spans="1:2" x14ac:dyDescent="0.25">
      <c r="A12" t="s">
        <v>71</v>
      </c>
      <c r="B12" s="18">
        <f>-Assumptions!B30</f>
        <v>-1249305000</v>
      </c>
    </row>
    <row r="13" spans="1:2" x14ac:dyDescent="0.25">
      <c r="A13" t="s">
        <v>72</v>
      </c>
      <c r="B13" s="18">
        <f>B11+B12</f>
        <v>134289402365.23276</v>
      </c>
    </row>
    <row r="14" spans="1:2" x14ac:dyDescent="0.25">
      <c r="A14" s="19" t="s">
        <v>73</v>
      </c>
      <c r="B14" s="24">
        <f>B13/Assumptions!B31</f>
        <v>101.76268884245299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19623139190.988827</v>
      </c>
    </row>
    <row r="18" spans="1:2" x14ac:dyDescent="0.25">
      <c r="A18" t="s">
        <v>68</v>
      </c>
      <c r="B18" s="18">
        <f>B17*Assumptions!B13</f>
        <v>392462783819.77655</v>
      </c>
    </row>
    <row r="19" spans="1:2" x14ac:dyDescent="0.25">
      <c r="A19" t="s">
        <v>69</v>
      </c>
      <c r="B19" s="18">
        <f>B18/(1+Assumptions!B26)^(10-0.5*Assumptions!B32)</f>
        <v>155673713765.80222</v>
      </c>
    </row>
    <row r="20" spans="1:2" x14ac:dyDescent="0.25">
      <c r="A20" t="s">
        <v>70</v>
      </c>
      <c r="B20" s="18">
        <f>Forecast!B17+B19</f>
        <v>213901467950.10355</v>
      </c>
    </row>
    <row r="21" spans="1:2" x14ac:dyDescent="0.25">
      <c r="A21" t="s">
        <v>71</v>
      </c>
      <c r="B21" s="18">
        <f>-Assumptions!B30</f>
        <v>-1249305000</v>
      </c>
    </row>
    <row r="22" spans="1:2" x14ac:dyDescent="0.25">
      <c r="A22" t="s">
        <v>72</v>
      </c>
      <c r="B22" s="18">
        <f>B20+B21</f>
        <v>212652162950.10355</v>
      </c>
    </row>
    <row r="23" spans="1:2" x14ac:dyDescent="0.25">
      <c r="A23" s="19" t="s">
        <v>73</v>
      </c>
      <c r="B23" s="25">
        <f>B22/Assumptions!B31</f>
        <v>161.14492661982806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157.91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101.76268884245299</v>
      </c>
    </row>
    <row r="29" spans="1:2" x14ac:dyDescent="0.25">
      <c r="A29" s="19" t="s">
        <v>81</v>
      </c>
      <c r="B29" s="11">
        <f>B28/B26-1</f>
        <v>-0.35556526602208227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0.082229</v>
      </c>
      <c r="B5" s="31">
        <v>129.7978425005539</v>
      </c>
      <c r="C5" s="31">
        <v>135.24861106785883</v>
      </c>
      <c r="D5" s="31">
        <v>141.70467632319006</v>
      </c>
      <c r="E5" s="31">
        <v>149.4547562263093</v>
      </c>
      <c r="F5" s="31">
        <v>158.90983173630573</v>
      </c>
    </row>
    <row r="6" spans="1:6" x14ac:dyDescent="0.25">
      <c r="A6" s="30">
        <v>0.092229</v>
      </c>
      <c r="B6" s="31">
        <v>110.97679216020366</v>
      </c>
      <c r="C6" s="31">
        <v>114.5552864290468</v>
      </c>
      <c r="D6" s="31">
        <v>118.7085655153022</v>
      </c>
      <c r="E6" s="31">
        <v>123.57517852406853</v>
      </c>
      <c r="F6" s="31">
        <v>129.34209375529272</v>
      </c>
    </row>
    <row r="7" spans="1:6" x14ac:dyDescent="0.25">
      <c r="A7" s="30">
        <v>0.102229</v>
      </c>
      <c r="B7" s="31">
        <v>96.57425506697017</v>
      </c>
      <c r="C7" s="31">
        <v>98.99444488269546</v>
      </c>
      <c r="D7" s="32">
        <v>101.76299447215874</v>
      </c>
      <c r="E7" s="31">
        <v>104.95224869138833</v>
      </c>
      <c r="F7" s="31">
        <v>108.65607431583078</v>
      </c>
    </row>
    <row r="8" spans="1:6" x14ac:dyDescent="0.25">
      <c r="A8" s="30">
        <v>0.112229</v>
      </c>
      <c r="B8" s="31">
        <v>85.22016801141186</v>
      </c>
      <c r="C8" s="31">
        <v>86.89018465599095</v>
      </c>
      <c r="D8" s="31">
        <v>88.78096077590028</v>
      </c>
      <c r="E8" s="31">
        <v>90.93276673962242</v>
      </c>
      <c r="F8" s="31">
        <v>93.39630173602674</v>
      </c>
    </row>
    <row r="9" spans="1:6" x14ac:dyDescent="0.25">
      <c r="A9" s="30">
        <v>0.122229</v>
      </c>
      <c r="B9" s="31">
        <v>76.05606804981743</v>
      </c>
      <c r="C9" s="31">
        <v>77.2228421830392</v>
      </c>
      <c r="D9" s="31">
        <v>78.5345198174473</v>
      </c>
      <c r="E9" s="31">
        <v>80.01466786277511</v>
      </c>
      <c r="F9" s="31">
        <v>81.6922566862605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13579476000</v>
      </c>
      <c r="C5" s="18">
        <v>12156162000</v>
      </c>
      <c r="D5" s="18">
        <v>9812247000</v>
      </c>
      <c r="E5" s="18">
        <v>10496056000</v>
      </c>
      <c r="F5" s="6" t="s">
        <v>91</v>
      </c>
    </row>
    <row r="6" spans="1:6" x14ac:dyDescent="0.25">
      <c r="A6" t="s">
        <v>51</v>
      </c>
      <c r="B6" s="18">
        <v>5660780000</v>
      </c>
      <c r="C6" s="18">
        <v>5014227000</v>
      </c>
      <c r="D6" s="18">
        <v>3635684000</v>
      </c>
      <c r="E6" s="18">
        <v>3994696000</v>
      </c>
      <c r="F6" s="6" t="s">
        <v>92</v>
      </c>
    </row>
    <row r="7" spans="1:6" x14ac:dyDescent="0.25">
      <c r="A7" t="s">
        <v>93</v>
      </c>
      <c r="B7" s="18">
        <v>393978000</v>
      </c>
      <c r="C7" s="18">
        <v>394088000</v>
      </c>
      <c r="D7" s="18">
        <v>401730000</v>
      </c>
      <c r="E7" s="18">
        <v>415113000</v>
      </c>
      <c r="F7" s="6" t="s">
        <v>94</v>
      </c>
    </row>
    <row r="8" spans="1:6" x14ac:dyDescent="0.25">
      <c r="A8" t="s">
        <v>95</v>
      </c>
      <c r="B8" s="18">
        <v>375945000</v>
      </c>
      <c r="C8" s="18">
        <v>335259000</v>
      </c>
      <c r="D8" s="18">
        <v>277384000</v>
      </c>
      <c r="E8" s="18">
        <v>341591000</v>
      </c>
      <c r="F8" s="6" t="s">
        <v>96</v>
      </c>
    </row>
    <row r="9" spans="1:6" x14ac:dyDescent="0.25">
      <c r="A9" t="s">
        <v>97</v>
      </c>
      <c r="B9" s="18">
        <v>1475678000</v>
      </c>
      <c r="C9" s="18">
        <v>646175000</v>
      </c>
      <c r="D9" s="18">
        <v>201181000</v>
      </c>
      <c r="E9" s="18">
        <v>-10113000</v>
      </c>
      <c r="F9" s="6" t="s">
        <v>98</v>
      </c>
    </row>
    <row r="10" spans="1:6" x14ac:dyDescent="0.25">
      <c r="A10" t="s">
        <v>99</v>
      </c>
      <c r="B10" s="18">
        <v>6151713000</v>
      </c>
      <c r="C10" s="18">
        <v>6088282000</v>
      </c>
      <c r="D10" s="18">
        <v>6819643000</v>
      </c>
      <c r="E10" s="18">
        <v>6063132000</v>
      </c>
      <c r="F10" s="6" t="s">
        <v>100</v>
      </c>
    </row>
    <row r="11" spans="1:6" x14ac:dyDescent="0.25">
      <c r="A11" t="s">
        <v>101</v>
      </c>
      <c r="B11" s="18">
        <v>4902408000</v>
      </c>
      <c r="C11" s="18">
        <v>4494623000</v>
      </c>
      <c r="D11" s="18">
        <v>4503995000</v>
      </c>
      <c r="E11" s="18">
        <v>3243159000</v>
      </c>
      <c r="F11" s="6" t="s">
        <v>102</v>
      </c>
    </row>
    <row r="12" spans="1:6" x14ac:dyDescent="0.25">
      <c r="A12" t="s">
        <v>34</v>
      </c>
      <c r="B12" s="34">
        <v>1319633000</v>
      </c>
      <c r="C12" s="34">
        <v>1337502000</v>
      </c>
      <c r="D12" s="34">
        <v>1361870000</v>
      </c>
      <c r="E12" s="34">
        <v>1402350000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