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<sst xmlns="http://schemas.openxmlformats.org/spreadsheetml/2006/main" count="112" uniqueCount="100">
  <si>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KLA Corporation (KLAC)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</si>
  <si>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</si>
  <si>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</si>
  <si>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</si>
  <si>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</si>
  <si>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</si>
  <si>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</si>
  <si>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</si>
  <si>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</si>
  <si>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</si>
  <si>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</si>
  <si>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</si>
  <si>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</si>
  <si>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</si>
  <si>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</si>
  <si>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</si>
  <si>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</si>
  <si>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</si>
  <si>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</si>
  <si>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</si>
  <si>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</si>
  <si>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</si>
  <si>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</si>
  <si>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</si>
  <si>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</si>
  <si>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</si>
  <si>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</si>
  <si>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</si>
  <si>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</si>
  <si>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</si>
  <si>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</si>
  <si>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</si>
  <si>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</si>
  <si>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</si>
  <si>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</si>
  <si>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</si>
  <si>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</si>
  <si>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</si>
  <si>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</si>
  <si>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</si>
  <si>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</si>
  <si>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</si>
  <si>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</si>
  <si>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</si>
  <si>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</si>
  <si>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</si>
  <si>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</si>
  <si>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</si>
  <si>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</si>
  <si>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</si>
  <si>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</si>
  <si>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</si>
  <si>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</si>
  <si>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</si>
  <si>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</si>
  <si>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</si>
  <si>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</si>
  <si>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</si>
  <si>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</si>
  <si>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</si>
  <si>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</si>
  <si>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</si>
  <si>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</si>
  <si>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</si>
  <si>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</si>
  <si>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</si>
  <si>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</si>
  <si>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</si>
  <si>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</si>
  <si>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</si>
  <si>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</si>
  <si>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</si>
  <si>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</si>
  <si>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</si>
  <si>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</si>
  <si>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</si>
  <si>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</si>
  <si>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</si>
  <si>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</si>
  <si>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</si>
  <si>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</si>
  <si>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</si>
  <si>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</si>
  <si>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</si>
  <si>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</si>
  <si>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</si>
  <si>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</si>
  <si>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</si>
  <si>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</si>
  <si>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</si>
  <si>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</si>
  <si>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</si>
  <si>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</si>
  <si>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</si>
  <si>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</si>
  <si>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</si>
  <si>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</si>
  <si>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</si>
  <si>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38.4x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</si>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</sst>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0.08964649002419045</v>
      </c>
    </row>
    <row r="7" spans="1:2" x14ac:dyDescent="0.25">
      <c r="A7" t="s">
        <v>5</v>
      </c>
      <c r="B7" s="6">
        <v>0.3951156546230174</v>
      </c>
    </row>
    <row r="8" spans="1:2" x14ac:dyDescent="0.25">
      <c r="A8" t="s">
        <v>6</v>
      </c>
      <c r="B8" s="6">
        <v>0.12984739999593686</v>
      </c>
    </row>
    <row r="9" spans="1:2" x14ac:dyDescent="0.25">
      <c r="A9" t="s">
        <v>7</v>
      </c>
      <c r="B9" s="6">
        <v>0.03548066464129448</v>
      </c>
    </row>
    <row r="10" spans="1:2" x14ac:dyDescent="0.25">
      <c r="A10" t="s">
        <v>8</v>
      </c>
      <c r="B10" s="6">
        <v>0.029019500773303914</v>
      </c>
    </row>
    <row r="11" spans="1:2" x14ac:dyDescent="0.25">
      <c r="A11" t="s">
        <v>9</v>
      </c>
      <c r="B11" s="6">
        <v>0.2756819253257904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0.3985250294666458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1.29748</v>
      </c>
      <c r="C19" s="8" t="s">
        <v>19</v>
      </c>
    </row>
    <row r="20" spans="1:2" x14ac:dyDescent="0.25">
      <c r="A20" t="s">
        <v>20</v>
      </c>
      <c r="B20" s="10">
        <f>B17+B19*B18</f>
        <v>0.12134140000000002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231245725696</v>
      </c>
    </row>
    <row r="23" spans="1:2" x14ac:dyDescent="0.25">
      <c r="A23" t="s">
        <v>24</v>
      </c>
      <c r="B23" s="11">
        <v>6151713000</v>
      </c>
    </row>
    <row r="24" spans="1:2" x14ac:dyDescent="0.25">
      <c r="A24" t="s">
        <v>25</v>
      </c>
      <c r="B24" s="10">
        <f>B22/(B22+B23)</f>
        <v>0.9740868602719948</v>
      </c>
    </row>
    <row r="25" spans="1:2" x14ac:dyDescent="0.25">
      <c r="A25" t="s">
        <v>26</v>
      </c>
      <c r="B25" s="10">
        <f>1-B24</f>
        <v>0.02591313972800524</v>
      </c>
    </row>
    <row r="26" spans="1:2" x14ac:dyDescent="0.25">
      <c r="A26" t="s">
        <v>27</v>
      </c>
      <c r="B26" s="12">
        <f>B24*B20+B25*B21*(1-B8)</f>
        <v>0.1193240316747197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13579476000</v>
      </c>
      <c r="C29" s="8" t="s">
        <v>30</v>
      </c>
    </row>
    <row r="30" spans="1:2" x14ac:dyDescent="0.25">
      <c r="A30" t="s">
        <v>31</v>
      </c>
      <c r="B30" s="11">
        <v>1249305000</v>
      </c>
    </row>
    <row r="31" spans="1:2" x14ac:dyDescent="0.25">
      <c r="A31" t="s">
        <v>32</v>
      </c>
      <c r="B31" s="13">
        <v>1319633000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0.08964649002419045</v>
      </c>
      <c r="C5" s="10">
        <f>Assumptions!B6</f>
        <v>0.08964649002419045</v>
      </c>
      <c r="D5" s="10">
        <f>Assumptions!B6</f>
        <v>0.08964649002419045</v>
      </c>
      <c r="E5" s="10">
        <f>Assumptions!B6</f>
        <v>0.08964649002419045</v>
      </c>
      <c r="F5" s="10">
        <f>Assumptions!B6</f>
        <v>0.08964649002419045</v>
      </c>
    </row>
    <row r="6" spans="1:6" x14ac:dyDescent="0.25">
      <c r="A6" t="s">
        <v>43</v>
      </c>
      <c r="B6" s="18">
        <f>Assumptions!B29*(1+B5)</f>
        <v>14796828359.767735</v>
      </c>
      <c r="C6" s="18">
        <f>B6*(1+C5)</f>
        <v>16123312085.711311</v>
      </c>
      <c r="D6" s="18">
        <f>C6*(1+D5)</f>
        <v>17568710421.75994</v>
      </c>
      <c r="E6" s="18">
        <f>D6*(1+E5)</f>
        <v>19143683645.322136</v>
      </c>
      <c r="F6" s="18">
        <f>E6*(1+F5)</f>
        <v>20859847690.258766</v>
      </c>
    </row>
    <row r="7" spans="1:6" x14ac:dyDescent="0.25">
      <c r="A7" t="s">
        <v>5</v>
      </c>
      <c r="B7" s="10">
        <f>Assumptions!B7</f>
        <v>0.3951156546230174</v>
      </c>
      <c r="C7" s="10">
        <f>Assumptions!B7</f>
        <v>0.3951156546230174</v>
      </c>
      <c r="D7" s="10">
        <f>Assumptions!B7</f>
        <v>0.3951156546230174</v>
      </c>
      <c r="E7" s="10">
        <f>Assumptions!B7</f>
        <v>0.3951156546230174</v>
      </c>
      <c r="F7" s="10">
        <f>Assumptions!B7</f>
        <v>0.3951156546230174</v>
      </c>
    </row>
    <row r="8" spans="1:6" x14ac:dyDescent="0.25">
      <c r="A8" t="s">
        <v>44</v>
      </c>
      <c r="B8" s="18">
        <f>B6*B7</f>
        <v>5846458523.714057</v>
      </c>
      <c r="C8" s="18">
        <f>C6*C7</f>
        <v>6370573009.437033</v>
      </c>
      <c r="D8" s="18">
        <f>D6*D7</f>
        <v>6941672519.175907</v>
      </c>
      <c r="E8" s="18">
        <f>E6*E7</f>
        <v>7563969095.417408</v>
      </c>
      <c r="F8" s="18">
        <f>F6*F7</f>
        <v>8242052375.47303</v>
      </c>
    </row>
    <row r="9" spans="1:6" x14ac:dyDescent="0.25">
      <c r="A9" t="s">
        <v>45</v>
      </c>
      <c r="B9" s="18">
        <f>B8*(1-Assumptions!B8)</f>
        <v>5087311085.225703</v>
      </c>
      <c r="C9" s="18">
        <f>C8*(1-Assumptions!B8)</f>
        <v>5543370667.677343</v>
      </c>
      <c r="D9" s="18">
        <f>D8*(1-Assumptions!B8)</f>
        <v>6040314390.937671</v>
      </c>
      <c r="E9" s="18">
        <f>E8*(1-Assumptions!B8)</f>
        <v>6581807374.727839</v>
      </c>
      <c r="F9" s="18">
        <f>F8*(1-Assumptions!B8)</f>
        <v>7171843303.887522</v>
      </c>
    </row>
    <row r="10" spans="1:6" x14ac:dyDescent="0.25">
      <c r="A10" t="s">
        <v>46</v>
      </c>
      <c r="B10" s="18">
        <f>B6*Assumptions!B9</f>
        <v>525001304.7877144</v>
      </c>
      <c r="C10" s="18">
        <f>C6*Assumptions!B9</f>
        <v>572065829.0200533</v>
      </c>
      <c r="D10" s="18">
        <f>D6*Assumptions!B9</f>
        <v>623349522.6544797</v>
      </c>
      <c r="E10" s="18">
        <f>E6*Assumptions!B9</f>
        <v>679230619.4187084</v>
      </c>
      <c r="F10" s="18">
        <f>F6*Assumptions!B9</f>
        <v>740121260.3665525</v>
      </c>
    </row>
    <row r="11" spans="1:6" x14ac:dyDescent="0.25">
      <c r="A11" t="s">
        <v>47</v>
      </c>
      <c r="B11" s="18">
        <f>-B6*Assumptions!B10</f>
        <v>-429396572.0287251</v>
      </c>
      <c r="C11" s="18">
        <f>-C6*Assumptions!B10</f>
        <v>-467890467.5395197</v>
      </c>
      <c r="D11" s="18">
        <f>-D6*Assumptions!B10</f>
        <v>-509835205.67021513</v>
      </c>
      <c r="E11" s="18">
        <f>-E6*Assumptions!B10</f>
        <v>-555540142.3493112</v>
      </c>
      <c r="F11" s="18">
        <f>-F6*Assumptions!B10</f>
        <v>-605342366.1784661</v>
      </c>
    </row>
    <row r="12" spans="1:6" x14ac:dyDescent="0.25">
      <c r="A12" t="s">
        <v>48</v>
      </c>
      <c r="B12" s="18">
        <f>-(B6-Assumptions!B29)*Assumptions!B11</f>
        <v>-335602042.3406633</v>
      </c>
      <c r="C12" s="18">
        <f>-(C6-B6)*Assumptions!B11</f>
        <v>-365687587.48145336</v>
      </c>
      <c r="D12" s="18">
        <f>-(D6-C6)*Assumptions!B11</f>
        <v>-398470196.14458</v>
      </c>
      <c r="E12" s="18">
        <f>-(E6-D6)*Assumptions!B11</f>
        <v>-434191650.6081924</v>
      </c>
      <c r="F12" s="18">
        <f>-(F6-E6)*Assumptions!B11</f>
        <v>-473115408.08302647</v>
      </c>
    </row>
    <row r="13" spans="1:6" x14ac:dyDescent="0.25">
      <c r="A13" s="19" t="s">
        <v>49</v>
      </c>
      <c r="B13" s="20">
        <f>B9+B10+B11+B12</f>
        <v>4847313775.64403</v>
      </c>
      <c r="C13" s="20">
        <f>C9+C10+C11+C12</f>
        <v>5281858441.676424</v>
      </c>
      <c r="D13" s="20">
        <f>D9+D10+D11+D12</f>
        <v>5755358511.777356</v>
      </c>
      <c r="E13" s="20">
        <f>E9+E10+E11+E12</f>
        <v>6271306201.189045</v>
      </c>
      <c r="F13" s="20">
        <f>F9+F10+F11+F12</f>
        <v>6833506789.992581</v>
      </c>
    </row>
    <row r="14" spans="1:6" x14ac:dyDescent="0.25">
      <c r="A14" t="s">
        <v>50</v>
      </c>
      <c r="B14" s="21">
        <f>1/(1+Assumptions!$B$26)^(1-0.5*Assumptions!$B$32)</f>
        <v>0.9451964589966984</v>
      </c>
      <c r="C14" s="21">
        <f>1/(1+Assumptions!$B$26)^(2-0.5*Assumptions!$B$32)</f>
        <v>0.8444350628142113</v>
      </c>
      <c r="D14" s="21">
        <f>1/(1+Assumptions!$B$26)^(3-0.5*Assumptions!$B$32)</f>
        <v>0.7544151996368534</v>
      </c>
      <c r="E14" s="21">
        <f>1/(1+Assumptions!$B$26)^(4-0.5*Assumptions!$B$32)</f>
        <v>0.6739917827977893</v>
      </c>
      <c r="F14" s="21">
        <f>1/(1+Assumptions!$B$26)^(5-0.5*Assumptions!$B$32)</f>
        <v>0.6021417960529003</v>
      </c>
    </row>
    <row r="15" spans="1:6" x14ac:dyDescent="0.25">
      <c r="A15" s="19" t="s">
        <v>51</v>
      </c>
      <c r="B15" s="20">
        <f>B13*B14</f>
        <v>4581663816.384653</v>
      </c>
      <c r="C15" s="20">
        <f>C13*C14</f>
        <v>4460186464.972803</v>
      </c>
      <c r="D15" s="20">
        <f>D13*D14</f>
        <v>4341929940.644177</v>
      </c>
      <c r="E15" s="20">
        <f>E13*E14</f>
        <v>4226808847.010236</v>
      </c>
      <c r="F15" s="20">
        <f>F13*F14</f>
        <v>4114740051.8658223</v>
      </c>
    </row>
    <row r="17" spans="1:2" x14ac:dyDescent="0.25">
      <c r="A17" s="22" t="s">
        <v>52</v>
      </c>
      <c r="B17" s="23">
        <f>SUM(B15:F15)</f>
        <v>21725329120.87769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6833506789.992581</v>
      </c>
    </row>
    <row r="5" spans="1:2" x14ac:dyDescent="0.25">
      <c r="A5" t="s">
        <v>56</v>
      </c>
      <c r="B5" s="18">
        <f>IF(Assumptions!$B$33=0,B4,B4-Forecast!F11-Forecast!F10-Forecast!F12)</f>
        <v>7171843303.887522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0.06273131711064174</v>
      </c>
    </row>
    <row r="7" spans="1:2" x14ac:dyDescent="0.25">
      <c r="A7" t="s">
        <v>58</v>
      </c>
      <c r="B7" s="18">
        <f>-MAX(Forecast!F9,0)*B6</f>
        <v>-449899176.56400067</v>
      </c>
    </row>
    <row r="8" spans="1:2" x14ac:dyDescent="0.25">
      <c r="A8" t="s">
        <v>59</v>
      </c>
      <c r="B8" s="18">
        <f>IF(OR(Assumptions!$B$33=0,Assumptions!B12&lt;=0),B5,MAX(B5+B7,0))</f>
        <v>6721944127.323521</v>
      </c>
    </row>
    <row r="9" spans="1:2" x14ac:dyDescent="0.25">
      <c r="A9" t="s">
        <v>60</v>
      </c>
      <c r="B9" s="18">
        <f>B8*(1+Assumptions!B12)/(Assumptions!B26-Assumptions!B12)</f>
        <v>73045994834.77373</v>
      </c>
    </row>
    <row r="10" spans="1:2" x14ac:dyDescent="0.25">
      <c r="A10" t="s">
        <v>61</v>
      </c>
      <c r="B10" s="18">
        <f>B9/(1+Assumptions!B26)^(5-0.5*Assumptions!B32)</f>
        <v>43984046524.28153</v>
      </c>
    </row>
    <row r="11" spans="1:2" x14ac:dyDescent="0.25">
      <c r="A11" t="s">
        <v>62</v>
      </c>
      <c r="B11" s="18">
        <f>Forecast!B17+B10</f>
        <v>65709375645.159225</v>
      </c>
    </row>
    <row r="12" spans="1:2" x14ac:dyDescent="0.25">
      <c r="A12" t="s">
        <v>63</v>
      </c>
      <c r="B12" s="18">
        <f>-Assumptions!B30</f>
        <v>-1249305000</v>
      </c>
    </row>
    <row r="13" spans="1:2" x14ac:dyDescent="0.25">
      <c r="A13" t="s">
        <v>64</v>
      </c>
      <c r="B13" s="18">
        <f>B11+B12</f>
        <v>64460070645.159225</v>
      </c>
    </row>
    <row r="14" spans="1:2" x14ac:dyDescent="0.25">
      <c r="A14" s="19" t="s">
        <v>65</v>
      </c>
      <c r="B14" s="24">
        <f>B13/Assumptions!B31</f>
        <v>48.84696778965002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8982173635.839582</v>
      </c>
    </row>
    <row r="18" spans="1:2" x14ac:dyDescent="0.25">
      <c r="A18" t="s">
        <v>60</v>
      </c>
      <c r="B18" s="18">
        <f>B17*Assumptions!B13</f>
        <v>179643472716.79166</v>
      </c>
    </row>
    <row r="19" spans="1:2" x14ac:dyDescent="0.25">
      <c r="A19" t="s">
        <v>61</v>
      </c>
      <c r="B19" s="18">
        <f>B18/(1+Assumptions!B26)^(5-0.5*Assumptions!B32)</f>
        <v>108170843310.86913</v>
      </c>
    </row>
    <row r="20" spans="1:2" x14ac:dyDescent="0.25">
      <c r="A20" t="s">
        <v>62</v>
      </c>
      <c r="B20" s="18">
        <f>Forecast!B17+B19</f>
        <v>129896172431.74681</v>
      </c>
    </row>
    <row r="21" spans="1:2" x14ac:dyDescent="0.25">
      <c r="A21" t="s">
        <v>63</v>
      </c>
      <c r="B21" s="18">
        <f>-Assumptions!B30</f>
        <v>-1249305000</v>
      </c>
    </row>
    <row r="22" spans="1:2" x14ac:dyDescent="0.25">
      <c r="A22" t="s">
        <v>64</v>
      </c>
      <c r="B22" s="18">
        <f>B20+B21</f>
        <v>128646867431.74681</v>
      </c>
    </row>
    <row r="23" spans="1:2" x14ac:dyDescent="0.25">
      <c r="A23" s="19" t="s">
        <v>65</v>
      </c>
      <c r="B23" s="25">
        <f>B22/Assumptions!B31</f>
        <v>97.48685235345495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176.99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48.84696778965002</v>
      </c>
    </row>
    <row r="29" spans="1:2" x14ac:dyDescent="0.25">
      <c r="A29" s="19" t="s">
        <v>73</v>
      </c>
      <c r="B29" s="12">
        <f>B28/B26-1</f>
        <v>-0.7240128380719248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0.099324</v>
      </c>
      <c r="B5" s="31">
        <v>57.37605218712868</v>
      </c>
      <c r="C5" s="31">
        <v>59.61015194267233</v>
      </c>
      <c r="D5" s="31">
        <v>62.138850005405686</v>
      </c>
      <c r="E5" s="31">
        <v>65.02589016691391</v>
      </c>
      <c r="F5" s="31">
        <v>68.35483581693676</v>
      </c>
    </row>
    <row r="6" spans="1:6" x14ac:dyDescent="0.25">
      <c r="A6" s="30">
        <v>0.109324</v>
      </c>
      <c r="B6" s="31">
        <v>51.16875985176928</v>
      </c>
      <c r="C6" s="31">
        <v>52.839294226005414</v>
      </c>
      <c r="D6" s="31">
        <v>54.70286795519007</v>
      </c>
      <c r="E6" s="31">
        <v>56.7959843715333</v>
      </c>
      <c r="F6" s="31">
        <v>59.1649695649573</v>
      </c>
    </row>
    <row r="7" spans="1:6" x14ac:dyDescent="0.25">
      <c r="A7" s="30">
        <v>0.119324</v>
      </c>
      <c r="B7" s="31">
        <v>46.156991848677265</v>
      </c>
      <c r="C7" s="31">
        <v>47.436347430795536</v>
      </c>
      <c r="D7" s="32">
        <v>48.84698436630561</v>
      </c>
      <c r="E7" s="31">
        <v>50.41094846933224</v>
      </c>
      <c r="F7" s="31">
        <v>52.15551438899959</v>
      </c>
    </row>
    <row r="8" spans="1:6" x14ac:dyDescent="0.25">
      <c r="A8" s="30">
        <v>0.129324</v>
      </c>
      <c r="B8" s="31">
        <v>42.02678537018965</v>
      </c>
      <c r="C8" s="31">
        <v>43.025744880613686</v>
      </c>
      <c r="D8" s="31">
        <v>44.11667872164692</v>
      </c>
      <c r="E8" s="31">
        <v>45.313476939593755</v>
      </c>
      <c r="F8" s="31">
        <v>46.63297475829651</v>
      </c>
    </row>
    <row r="9" spans="1:6" x14ac:dyDescent="0.25">
      <c r="A9" s="30">
        <v>0.139324</v>
      </c>
      <c r="B9" s="31">
        <v>38.565204249341164</v>
      </c>
      <c r="C9" s="31">
        <v>39.35782736519006</v>
      </c>
      <c r="D9" s="31">
        <v>40.21646556781367</v>
      </c>
      <c r="E9" s="31">
        <v>41.15017657831281</v>
      </c>
      <c r="F9" s="31">
        <v>42.16975457749082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13579476000</v>
      </c>
      <c r="C5" s="18">
        <v>12156162000</v>
      </c>
      <c r="D5" s="18">
        <v>9812247000</v>
      </c>
      <c r="E5" s="18">
        <v>10496056000</v>
      </c>
      <c r="F5" s="8" t="s">
        <v>84</v>
      </c>
    </row>
    <row r="6" spans="1:6" x14ac:dyDescent="0.25">
      <c r="A6" t="s">
        <v>44</v>
      </c>
      <c r="B6" s="18">
        <v>5660780000</v>
      </c>
      <c r="C6" s="18">
        <v>5014227000</v>
      </c>
      <c r="D6" s="18">
        <v>3635684000</v>
      </c>
      <c r="E6" s="18">
        <v>3994696000</v>
      </c>
      <c r="F6" s="8" t="s">
        <v>85</v>
      </c>
    </row>
    <row r="7" spans="1:6" x14ac:dyDescent="0.25">
      <c r="A7" t="s">
        <v>86</v>
      </c>
      <c r="B7" s="18">
        <v>393978000</v>
      </c>
      <c r="C7" s="18">
        <v>394088000</v>
      </c>
      <c r="D7" s="18">
        <v>401730000</v>
      </c>
      <c r="E7" s="18">
        <v>415113000</v>
      </c>
      <c r="F7" s="8" t="s">
        <v>87</v>
      </c>
    </row>
    <row r="8" spans="1:6" x14ac:dyDescent="0.25">
      <c r="A8" t="s">
        <v>88</v>
      </c>
      <c r="B8" s="18">
        <v>375945000</v>
      </c>
      <c r="C8" s="18">
        <v>335259000</v>
      </c>
      <c r="D8" s="18">
        <v>277384000</v>
      </c>
      <c r="E8" s="18">
        <v>341591000</v>
      </c>
      <c r="F8" s="8" t="s">
        <v>89</v>
      </c>
    </row>
    <row r="9" spans="1:6" x14ac:dyDescent="0.25">
      <c r="A9" t="s">
        <v>90</v>
      </c>
      <c r="B9" s="18">
        <v>1475678000</v>
      </c>
      <c r="C9" s="18">
        <v>646175000</v>
      </c>
      <c r="D9" s="18">
        <v>201181000</v>
      </c>
      <c r="E9" s="18">
        <v>-10113000</v>
      </c>
      <c r="F9" s="8" t="s">
        <v>91</v>
      </c>
    </row>
    <row r="10" spans="1:6" x14ac:dyDescent="0.25">
      <c r="A10" t="s">
        <v>92</v>
      </c>
      <c r="B10" s="18">
        <v>6151713000</v>
      </c>
      <c r="C10" s="18">
        <v>6088282000</v>
      </c>
      <c r="D10" s="18">
        <v>6819643000</v>
      </c>
      <c r="E10" s="18">
        <v>6063132000</v>
      </c>
      <c r="F10" s="8" t="s">
        <v>93</v>
      </c>
    </row>
    <row r="11" spans="1:6" x14ac:dyDescent="0.25">
      <c r="A11" t="s">
        <v>94</v>
      </c>
      <c r="B11" s="18">
        <v>4902408000</v>
      </c>
      <c r="C11" s="18">
        <v>4494623000</v>
      </c>
      <c r="D11" s="18">
        <v>4503995000</v>
      </c>
      <c r="E11" s="18">
        <v>3243159000</v>
      </c>
      <c r="F11" s="8" t="s">
        <v>95</v>
      </c>
    </row>
    <row r="12" spans="1:6" x14ac:dyDescent="0.25">
      <c r="A12" t="s">
        <v>32</v>
      </c>
      <c r="B12" s="34">
        <v>1319633000</v>
      </c>
      <c r="C12" s="34">
        <v>1337500000</v>
      </c>
      <c r="D12" s="34">
        <v>1361870000</v>
      </c>
      <c r="E12" s="34">
        <v>1402350000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