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<sst xmlns="http://schemas.openxmlformats.org/spreadsheetml/2006/main" count="119" uniqueCount="106">
  <si>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Kimberly-Clark Corporation (KMB)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</si>
  <si>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</si>
  <si>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</si>
  <si>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</si>
  <si>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</si>
  <si>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</si>
  <si>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</si>
  <si>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</si>
  <si>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</si>
  <si>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</si>
  <si>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</si>
  <si>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</si>
  <si>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</si>
  <si>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</si>
  <si>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</si>
  <si>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</si>
  <si>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</si>
  <si>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</si>
  <si>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</si>
  <si>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</si>
  <si>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</si>
  <si>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</si>
  <si>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</si>
  <si>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</si>
  <si>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9.2x interest cover. Book interest / average debt was lower, at 3.5%.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</si>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</sst>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0.010505571836809224</v>
      </c>
    </row>
    <row r="7" spans="1:2" x14ac:dyDescent="0.25">
      <c r="A7" t="s">
        <v>4</v>
      </c>
      <c r="B7" s="5">
        <v>0.14827303695326757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0.044177323727719646</v>
      </c>
    </row>
    <row r="10" spans="1:3" x14ac:dyDescent="0.25">
      <c r="A10" t="s">
        <v>7</v>
      </c>
      <c r="B10" s="5">
        <v>0.05004776619727483</v>
      </c>
      <c r="C10" s="6" t="s">
        <v>8</v>
      </c>
    </row>
    <row r="11" spans="1:2" x14ac:dyDescent="0.25">
      <c r="A11" t="s">
        <v>9</v>
      </c>
      <c r="B11" s="5">
        <v>0.006691793428191921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13.441248730038023</v>
      </c>
    </row>
    <row r="14" spans="1:3" x14ac:dyDescent="0.25">
      <c r="A14" t="s">
        <v>12</v>
      </c>
      <c r="B14" s="5">
        <v>0.23285761361464158</v>
      </c>
      <c r="C14" s="6" t="s">
        <v>13</v>
      </c>
    </row>
    <row r="15" spans="1:3" x14ac:dyDescent="0.25">
      <c r="A15" t="s">
        <v>14</v>
      </c>
      <c r="B15" s="5">
        <v>0.04261886550612761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0.51425</v>
      </c>
      <c r="C19" s="6" t="s">
        <v>21</v>
      </c>
    </row>
    <row r="20" spans="1:2" x14ac:dyDescent="0.25">
      <c r="A20" t="s">
        <v>22</v>
      </c>
      <c r="B20" s="9">
        <f>B17+B19*B18</f>
        <v>0.070692775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35898580992</v>
      </c>
    </row>
    <row r="23" spans="1:2" x14ac:dyDescent="0.25">
      <c r="A23" t="s">
        <v>26</v>
      </c>
      <c r="B23" s="10">
        <v>7296000000</v>
      </c>
    </row>
    <row r="24" spans="1:2" x14ac:dyDescent="0.25">
      <c r="A24" t="s">
        <v>27</v>
      </c>
      <c r="B24" s="9">
        <f>B22/(B22+B23)</f>
        <v>0.8310899230310561</v>
      </c>
    </row>
    <row r="25" spans="1:2" x14ac:dyDescent="0.25">
      <c r="A25" t="s">
        <v>28</v>
      </c>
      <c r="B25" s="9">
        <f>1-B24</f>
        <v>0.1689100769689439</v>
      </c>
    </row>
    <row r="26" spans="1:2" x14ac:dyDescent="0.25">
      <c r="A26" t="s">
        <v>29</v>
      </c>
      <c r="B26" s="11">
        <f>B24*B20+B25*B21*(1-B8)</f>
        <v>0.06581631151864312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16447000000</v>
      </c>
      <c r="C29" s="6" t="s">
        <v>32</v>
      </c>
    </row>
    <row r="30" spans="1:2" x14ac:dyDescent="0.25">
      <c r="A30" t="s">
        <v>33</v>
      </c>
      <c r="B30" s="10">
        <v>6522000000</v>
      </c>
    </row>
    <row r="31" spans="1:2" x14ac:dyDescent="0.25">
      <c r="A31" t="s">
        <v>34</v>
      </c>
      <c r="B31" s="12">
        <v>333200000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0.010505571836809224</v>
      </c>
      <c r="C5" s="5">
        <v>0.024485009076356867</v>
      </c>
      <c r="D5" s="5">
        <v>0.024549382941812258</v>
      </c>
      <c r="E5" s="5">
        <v>0.02461375680726765</v>
      </c>
      <c r="F5" s="5">
        <v>0.024678130672723043</v>
      </c>
      <c r="G5" s="5">
        <v>0.024742504538178434</v>
      </c>
      <c r="H5" s="5">
        <v>0.024806878403633825</v>
      </c>
      <c r="I5" s="5">
        <v>0.02487125226908922</v>
      </c>
      <c r="J5" s="5">
        <v>0.02493562613454461</v>
      </c>
      <c r="K5" s="5">
        <v>0.025</v>
      </c>
    </row>
    <row r="6" spans="1:11" x14ac:dyDescent="0.25">
      <c r="A6" t="s">
        <v>50</v>
      </c>
      <c r="B6" s="18">
        <f>Assumptions!B29*(1+B5)</f>
        <v>16619785140.000002</v>
      </c>
      <c r="C6" s="18">
        <f>B6*(1+C5)</f>
        <v>17026720730.000004</v>
      </c>
      <c r="D6" s="18">
        <f>C6*(1+D5)</f>
        <v>17444716217.444065</v>
      </c>
      <c r="E6" s="18">
        <f>D6*(1+E5)</f>
        <v>17874096219.99203</v>
      </c>
      <c r="F6" s="18">
        <f>E6*(1+F5)</f>
        <v>18315195502.16582</v>
      </c>
      <c r="G6" s="18">
        <f>F6*(1+G5)</f>
        <v>18768359309.995785</v>
      </c>
      <c r="H6" s="18">
        <f>G6*(1+H5)</f>
        <v>19233943717.23456</v>
      </c>
      <c r="I6" s="18">
        <f>H6*(1+I5)</f>
        <v>19712315983.555363</v>
      </c>
      <c r="J6" s="18">
        <f>I6*(1+J5)</f>
        <v>20203854925.167305</v>
      </c>
      <c r="K6" s="18">
        <f>J6*(1+K5)</f>
        <v>20708951298.296486</v>
      </c>
    </row>
    <row r="7" spans="1:11" x14ac:dyDescent="0.25">
      <c r="A7" t="s">
        <v>4</v>
      </c>
      <c r="B7" s="9">
        <f>Assumptions!B7</f>
        <v>0.14827303695326757</v>
      </c>
      <c r="C7" s="9">
        <f>Assumptions!B7</f>
        <v>0.14827303695326757</v>
      </c>
      <c r="D7" s="9">
        <f>Assumptions!B7</f>
        <v>0.14827303695326757</v>
      </c>
      <c r="E7" s="9">
        <f>Assumptions!B7</f>
        <v>0.14827303695326757</v>
      </c>
      <c r="F7" s="9">
        <f>Assumptions!B7</f>
        <v>0.14827303695326757</v>
      </c>
      <c r="G7" s="9">
        <f>Assumptions!B7</f>
        <v>0.14827303695326757</v>
      </c>
      <c r="H7" s="9">
        <f>Assumptions!B7</f>
        <v>0.14827303695326757</v>
      </c>
      <c r="I7" s="9">
        <f>Assumptions!B7</f>
        <v>0.14827303695326757</v>
      </c>
      <c r="J7" s="9">
        <f>Assumptions!B7</f>
        <v>0.14827303695326757</v>
      </c>
      <c r="K7" s="9">
        <f>Assumptions!B7</f>
        <v>0.14827303695326757</v>
      </c>
    </row>
    <row r="8" spans="1:11" x14ac:dyDescent="0.25">
      <c r="A8" t="s">
        <v>51</v>
      </c>
      <c r="B8" s="18">
        <f>B6*B7</f>
        <v>2464266016.2185874</v>
      </c>
      <c r="C8" s="18">
        <f>C6*C7</f>
        <v>2524603591.9922576</v>
      </c>
      <c r="D8" s="18">
        <f>D6*D7</f>
        <v>2586581052.34835</v>
      </c>
      <c r="E8" s="18">
        <f>E6*E7</f>
        <v>2650246529.3331385</v>
      </c>
      <c r="F8" s="18">
        <f>F6*F7</f>
        <v>2715649659.498953</v>
      </c>
      <c r="G8" s="18">
        <f>G6*G7</f>
        <v>2782841633.5232086</v>
      </c>
      <c r="H8" s="18">
        <f>H6*H7</f>
        <v>2851875247.542588</v>
      </c>
      <c r="I8" s="18">
        <f>I6*I7</f>
        <v>2922804956.264191</v>
      </c>
      <c r="J8" s="18">
        <f>J6*J7</f>
        <v>2995686927.917789</v>
      </c>
      <c r="K8" s="18">
        <f>K6*K7</f>
        <v>3070579101.115733</v>
      </c>
    </row>
    <row r="9" spans="1:11" x14ac:dyDescent="0.25">
      <c r="A9" t="s">
        <v>52</v>
      </c>
      <c r="B9" s="18">
        <f>B8*(1-Assumptions!B8)</f>
        <v>1946770152.812684</v>
      </c>
      <c r="C9" s="18">
        <f>C8*(1-Assumptions!B8)</f>
        <v>1994436837.6738837</v>
      </c>
      <c r="D9" s="18">
        <f>D8*(1-Assumptions!B8)</f>
        <v>2043399031.3551967</v>
      </c>
      <c r="E9" s="18">
        <f>E8*(1-Assumptions!B8)</f>
        <v>2093694758.1731794</v>
      </c>
      <c r="F9" s="18">
        <f>F8*(1-Assumptions!B8)</f>
        <v>2145363231.0041728</v>
      </c>
      <c r="G9" s="18">
        <f>G8*(1-Assumptions!B8)</f>
        <v>2198444890.483335</v>
      </c>
      <c r="H9" s="18">
        <f>H8*(1-Assumptions!B8)</f>
        <v>2252981445.558645</v>
      </c>
      <c r="I9" s="18">
        <f>I8*(1-Assumptions!B8)</f>
        <v>2309015915.448711</v>
      </c>
      <c r="J9" s="18">
        <f>J8*(1-Assumptions!B8)</f>
        <v>2366592673.055053</v>
      </c>
      <c r="K9" s="18">
        <f>K8*(1-Assumptions!B8)</f>
        <v>2425757489.881429</v>
      </c>
    </row>
    <row r="10" spans="1:11" x14ac:dyDescent="0.25">
      <c r="A10" t="s">
        <v>53</v>
      </c>
      <c r="B10" s="18">
        <f>B6*Assumptions!B9</f>
        <v>734217628.4149245</v>
      </c>
      <c r="C10" s="18">
        <f>C6*Assumptions!B9</f>
        <v>752194953.7106851</v>
      </c>
      <c r="D10" s="18">
        <f>D6*Assumptions!B9</f>
        <v>770660875.6762275</v>
      </c>
      <c r="E10" s="18">
        <f>E6*Assumptions!B9</f>
        <v>789629735.050998</v>
      </c>
      <c r="F10" s="18">
        <f>F6*Assumptions!B9</f>
        <v>809116320.8356543</v>
      </c>
      <c r="G10" s="18">
        <f>G6*Assumptions!B9</f>
        <v>829135885.0758446</v>
      </c>
      <c r="H10" s="18">
        <f>H6*Assumptions!B9</f>
        <v>849704158.1570104</v>
      </c>
      <c r="I10" s="18">
        <f>I6*Assumptions!B9</f>
        <v>870837364.6286275</v>
      </c>
      <c r="J10" s="18">
        <f>J6*Assumptions!B9</f>
        <v>892552239.5769991</v>
      </c>
      <c r="K10" s="18">
        <f>K6*Assumptions!B9</f>
        <v>914866045.5664239</v>
      </c>
    </row>
    <row r="11" spans="1:11" x14ac:dyDescent="0.25">
      <c r="A11" t="s">
        <v>54</v>
      </c>
      <c r="B11" s="18">
        <f>-B6*B19</f>
        <v>-831783120.9356626</v>
      </c>
      <c r="C11" s="18">
        <f>-C6*C19</f>
        <v>-862136785.6999614</v>
      </c>
      <c r="D11" s="18">
        <f>-D6*D19</f>
        <v>-893534344.9722166</v>
      </c>
      <c r="E11" s="18">
        <f>-E6*E19</f>
        <v>-926012078.7545784</v>
      </c>
      <c r="F11" s="18">
        <f>-F6*F19</f>
        <v>-959607560.3348802</v>
      </c>
      <c r="G11" s="18">
        <f>-G6*G19</f>
        <v>-994359703.7758917</v>
      </c>
      <c r="H11" s="18">
        <f>-H6*H19</f>
        <v>-1030308813.2019806</v>
      </c>
      <c r="I11" s="18">
        <f>-I6*I19</f>
        <v>-1067496633.9532614</v>
      </c>
      <c r="J11" s="18">
        <f>-J6*J19</f>
        <v>-1105966405.680115</v>
      </c>
      <c r="K11" s="18">
        <f>-K6*K19</f>
        <v>-1145762917.4538956</v>
      </c>
    </row>
    <row r="12" spans="1:11" x14ac:dyDescent="0.25">
      <c r="A12" t="s">
        <v>55</v>
      </c>
      <c r="B12" s="18">
        <f>-(B6-Assumptions!B29)*Assumptions!B11</f>
        <v>-1156242.4643412337</v>
      </c>
      <c r="C12" s="18">
        <f>-(C6-B6)*Assumptions!B11</f>
        <v>-2723128.9068594147</v>
      </c>
      <c r="D12" s="18">
        <f>-(D6-C6)*Assumptions!B11</f>
        <v>-2797139.455892048</v>
      </c>
      <c r="E12" s="18">
        <f>-(E6-D6)*Assumptions!B11</f>
        <v>-2873322.2792475093</v>
      </c>
      <c r="F12" s="18">
        <f>-(F6-E6)*Assumptions!B11</f>
        <v>-2951745.2776307417</v>
      </c>
      <c r="G12" s="18">
        <f>-(G6-F6)*Assumptions!B11</f>
        <v>-3032478.5911309775</v>
      </c>
      <c r="H12" s="18">
        <f>-(H6-G6)*Assumptions!B11</f>
        <v>-3115594.6766290544</v>
      </c>
      <c r="I12" s="18">
        <f>-(I6-H6)*Assumptions!B11</f>
        <v>-3201168.3879948356</v>
      </c>
      <c r="J12" s="18">
        <f>-(J6-I6)*Assumptions!B11</f>
        <v>-3289277.059179208</v>
      </c>
      <c r="K12" s="18">
        <f>-(K6-J6)*Assumptions!B11</f>
        <v>-3380000.590309427</v>
      </c>
    </row>
    <row r="13" spans="1:11" x14ac:dyDescent="0.25">
      <c r="A13" s="19" t="s">
        <v>56</v>
      </c>
      <c r="B13" s="20">
        <f>B9+B10+B11+B12</f>
        <v>1848048417.8276048</v>
      </c>
      <c r="C13" s="20">
        <f>C9+C10+C11+C12</f>
        <v>1881771876.7777479</v>
      </c>
      <c r="D13" s="20">
        <f>D9+D10+D11+D12</f>
        <v>1917728422.6033154</v>
      </c>
      <c r="E13" s="20">
        <f>E9+E10+E11+E12</f>
        <v>1954439092.1903515</v>
      </c>
      <c r="F13" s="20">
        <f>F9+F10+F11+F12</f>
        <v>1991920246.227316</v>
      </c>
      <c r="G13" s="20">
        <f>G9+G10+G11+G12</f>
        <v>2030188593.192157</v>
      </c>
      <c r="H13" s="20">
        <f>H9+H10+H11+H12</f>
        <v>2069261195.8370457</v>
      </c>
      <c r="I13" s="20">
        <f>I9+I10+I11+I12</f>
        <v>2109155477.736082</v>
      </c>
      <c r="J13" s="20">
        <f>J9+J10+J11+J12</f>
        <v>2149889229.8927584</v>
      </c>
      <c r="K13" s="20">
        <f>K9+K10+K11+K12</f>
        <v>2191480617.403648</v>
      </c>
    </row>
    <row r="14" spans="1:11" x14ac:dyDescent="0.25">
      <c r="A14" t="s">
        <v>57</v>
      </c>
      <c r="B14" s="21">
        <f>1/(1+Assumptions!$B$26)^(1-0.5*Assumptions!$B$32)</f>
        <v>0.9686320141049043</v>
      </c>
      <c r="C14" s="21">
        <f>1/(1+Assumptions!$B$26)^(2-0.5*Assumptions!$B$32)</f>
        <v>0.9088170293854253</v>
      </c>
      <c r="D14" s="21">
        <f>1/(1+Assumptions!$B$26)^(3-0.5*Assumptions!$B$32)</f>
        <v>0.8526957408734762</v>
      </c>
      <c r="E14" s="21">
        <f>1/(1+Assumptions!$B$26)^(4-0.5*Assumptions!$B$32)</f>
        <v>0.800040055362355</v>
      </c>
      <c r="F14" s="21">
        <f>1/(1+Assumptions!$B$26)^(5-0.5*Assumptions!$B$32)</f>
        <v>0.7506359648619064</v>
      </c>
      <c r="G14" s="21">
        <f>1/(1+Assumptions!$B$26)^(6-0.5*Assumptions!$B$32)</f>
        <v>0.7042826768079317</v>
      </c>
      <c r="H14" s="21">
        <f>1/(1+Assumptions!$B$26)^(7-0.5*Assumptions!$B$32)</f>
        <v>0.6607917979829233</v>
      </c>
      <c r="I14" s="21">
        <f>1/(1+Assumptions!$B$26)^(8-0.5*Assumptions!$B$32)</f>
        <v>0.6199865688313447</v>
      </c>
      <c r="J14" s="21">
        <f>1/(1+Assumptions!$B$26)^(9-0.5*Assumptions!$B$32)</f>
        <v>0.5817011450574896</v>
      </c>
      <c r="K14" s="21">
        <f>1/(1+Assumptions!$B$26)^(10-0.5*Assumptions!$B$32)</f>
        <v>0.5457799235861239</v>
      </c>
    </row>
    <row r="15" spans="1:11" x14ac:dyDescent="0.25">
      <c r="A15" s="19" t="s">
        <v>58</v>
      </c>
      <c r="B15" s="20">
        <f>B13*B14</f>
        <v>1790078861.1237345</v>
      </c>
      <c r="C15" s="20">
        <f>C13*C14</f>
        <v>1710186327.0341895</v>
      </c>
      <c r="D15" s="20">
        <f>D13*D14</f>
        <v>1635238858.105857</v>
      </c>
      <c r="E15" s="20">
        <f>E13*E14</f>
        <v>1563629559.5183196</v>
      </c>
      <c r="F15" s="20">
        <f>F13*F14</f>
        <v>1495206975.9548075</v>
      </c>
      <c r="G15" s="20">
        <f>G13*G14</f>
        <v>1429826656.8383014</v>
      </c>
      <c r="H15" s="20">
        <f>H13*H14</f>
        <v>1367350826.0934553</v>
      </c>
      <c r="I15" s="20">
        <f>I13*I14</f>
        <v>1307648067.7734292</v>
      </c>
      <c r="J15" s="20">
        <f>J13*J14</f>
        <v>1250593026.775382</v>
      </c>
      <c r="K15" s="20">
        <f>K13*K14</f>
        <v>1196066123.9070346</v>
      </c>
    </row>
    <row r="17" spans="1:2" x14ac:dyDescent="0.25">
      <c r="A17" s="22" t="s">
        <v>59</v>
      </c>
      <c r="B17" s="23">
        <f>SUM(B15:K15)</f>
        <v>14745825283.12451</v>
      </c>
    </row>
    <row r="19" spans="1:11" x14ac:dyDescent="0.25">
      <c r="A19" t="s">
        <v>7</v>
      </c>
      <c r="B19" s="9">
        <f>Assumptions!$B$10+($B$20-Assumptions!$B$10)*0/9</f>
        <v>0.05004776619727483</v>
      </c>
      <c r="C19" s="9">
        <f>Assumptions!$B$10+($B$20-Assumptions!$B$10)*1/9</f>
        <v>0.05063434112600032</v>
      </c>
      <c r="D19" s="9">
        <f>Assumptions!$B$10+($B$20-Assumptions!$B$10)*2/9</f>
        <v>0.05122091605472582</v>
      </c>
      <c r="E19" s="9">
        <f>Assumptions!$B$10+($B$20-Assumptions!$B$10)*3/9</f>
        <v>0.05180749098345131</v>
      </c>
      <c r="F19" s="9">
        <f>Assumptions!$B$10+($B$20-Assumptions!$B$10)*4/9</f>
        <v>0.05239406591217681</v>
      </c>
      <c r="G19" s="9">
        <f>Assumptions!$B$10+($B$20-Assumptions!$B$10)*5/9</f>
        <v>0.0529806408409023</v>
      </c>
      <c r="H19" s="9">
        <f>Assumptions!$B$10+($B$20-Assumptions!$B$10)*6/9</f>
        <v>0.0535672157696278</v>
      </c>
      <c r="I19" s="9">
        <f>Assumptions!$B$10+($B$20-Assumptions!$B$10)*7/9</f>
        <v>0.05415379069835329</v>
      </c>
      <c r="J19" s="9">
        <f>Assumptions!$B$10+($B$20-Assumptions!$B$10)*8/9</f>
        <v>0.05474036562707879</v>
      </c>
      <c r="K19" s="9">
        <f>Assumptions!$B$10+($B$20-Assumptions!$B$10)*9/9</f>
        <v>0.05532694055580428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0.05532694055580428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2191480617.403648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2451253977.856419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0.1073617461414543</v>
      </c>
    </row>
    <row r="7" spans="1:2" x14ac:dyDescent="0.25">
      <c r="A7" t="s">
        <v>66</v>
      </c>
      <c r="B7" s="18">
        <f>-MAX(B5,0)*B6</f>
        <v>-263170907.2988509</v>
      </c>
    </row>
    <row r="8" spans="1:2" x14ac:dyDescent="0.25">
      <c r="A8" t="s">
        <v>67</v>
      </c>
      <c r="B8" s="18">
        <f>IF(OR(Assumptions!$B$33=0,Assumptions!B12&lt;=0),B5,MAX(B5+B7,0))</f>
        <v>2188083070.557568</v>
      </c>
    </row>
    <row r="9" spans="1:2" x14ac:dyDescent="0.25">
      <c r="A9" t="s">
        <v>68</v>
      </c>
      <c r="B9" s="18">
        <f>B8*(1+Assumptions!B12)/(Assumptions!B26-Assumptions!B12)</f>
        <v>54948256318.97435</v>
      </c>
    </row>
    <row r="10" spans="1:2" x14ac:dyDescent="0.25">
      <c r="A10" t="s">
        <v>69</v>
      </c>
      <c r="B10" s="18">
        <f>B9/(1+Assumptions!B26)^(10-0.5*Assumptions!B32)</f>
        <v>29989655134.96057</v>
      </c>
    </row>
    <row r="11" spans="1:2" x14ac:dyDescent="0.25">
      <c r="A11" t="s">
        <v>70</v>
      </c>
      <c r="B11" s="18">
        <f>Forecast!B17+B10</f>
        <v>44735480418.08508</v>
      </c>
    </row>
    <row r="12" spans="1:2" x14ac:dyDescent="0.25">
      <c r="A12" t="s">
        <v>71</v>
      </c>
      <c r="B12" s="18">
        <f>-Assumptions!B30</f>
        <v>-6522000000</v>
      </c>
    </row>
    <row r="13" spans="1:2" x14ac:dyDescent="0.25">
      <c r="A13" t="s">
        <v>72</v>
      </c>
      <c r="B13" s="18">
        <f>B11+B12</f>
        <v>38213480418.08508</v>
      </c>
    </row>
    <row r="14" spans="1:2" x14ac:dyDescent="0.25">
      <c r="A14" s="19" t="s">
        <v>73</v>
      </c>
      <c r="B14" s="24">
        <f>B13/Assumptions!B31</f>
        <v>114.68631578056748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3985445146.682157</v>
      </c>
    </row>
    <row r="18" spans="1:2" x14ac:dyDescent="0.25">
      <c r="A18" t="s">
        <v>68</v>
      </c>
      <c r="B18" s="18">
        <f>B17*Assumptions!B13</f>
        <v>53569359516.477745</v>
      </c>
    </row>
    <row r="19" spans="1:2" x14ac:dyDescent="0.25">
      <c r="A19" t="s">
        <v>69</v>
      </c>
      <c r="B19" s="18">
        <f>B18/(1+Assumptions!B26)^(10-0.5*Assumptions!B32)</f>
        <v>29237080943.460823</v>
      </c>
    </row>
    <row r="20" spans="1:2" x14ac:dyDescent="0.25">
      <c r="A20" t="s">
        <v>70</v>
      </c>
      <c r="B20" s="18">
        <f>Forecast!B17+B19</f>
        <v>43982906226.585335</v>
      </c>
    </row>
    <row r="21" spans="1:2" x14ac:dyDescent="0.25">
      <c r="A21" t="s">
        <v>71</v>
      </c>
      <c r="B21" s="18">
        <f>-Assumptions!B30</f>
        <v>-6522000000</v>
      </c>
    </row>
    <row r="22" spans="1:2" x14ac:dyDescent="0.25">
      <c r="A22" t="s">
        <v>72</v>
      </c>
      <c r="B22" s="18">
        <f>B20+B21</f>
        <v>37460906226.585335</v>
      </c>
    </row>
    <row r="23" spans="1:2" x14ac:dyDescent="0.25">
      <c r="A23" s="19" t="s">
        <v>73</v>
      </c>
      <c r="B23" s="25">
        <f>B22/Assumptions!B31</f>
        <v>112.42768975565826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107.94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114.68631578056748</v>
      </c>
    </row>
    <row r="29" spans="1:2" x14ac:dyDescent="0.25">
      <c r="A29" s="19" t="s">
        <v>81</v>
      </c>
      <c r="B29" s="11">
        <f>B28/B26-1</f>
        <v>0.06250060941789415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0.045816</v>
      </c>
      <c r="B5" s="31">
        <v>178.02706433695326</v>
      </c>
      <c r="C5" s="31">
        <v>202.96357731814348</v>
      </c>
      <c r="D5" s="31">
        <v>240.09191553042683</v>
      </c>
      <c r="E5" s="31">
        <v>300.9748874251436</v>
      </c>
      <c r="F5" s="31">
        <v>418.5562342408757</v>
      </c>
    </row>
    <row r="6" spans="1:6" x14ac:dyDescent="0.25">
      <c r="A6" s="30">
        <v>0.055816</v>
      </c>
      <c r="B6" s="31">
        <v>129.86389375227733</v>
      </c>
      <c r="C6" s="31">
        <v>141.50346454118855</v>
      </c>
      <c r="D6" s="31">
        <v>157.05553595233948</v>
      </c>
      <c r="E6" s="31">
        <v>178.79340785145652</v>
      </c>
      <c r="F6" s="31">
        <v>211.17456521737776</v>
      </c>
    </row>
    <row r="7" spans="1:6" x14ac:dyDescent="0.25">
      <c r="A7" s="30">
        <v>0.065816</v>
      </c>
      <c r="B7" s="31">
        <v>100.67470729202839</v>
      </c>
      <c r="C7" s="31">
        <v>106.87338358854328</v>
      </c>
      <c r="D7" s="32">
        <v>114.68731255334454</v>
      </c>
      <c r="E7" s="31">
        <v>124.7929736934764</v>
      </c>
      <c r="F7" s="31">
        <v>138.30589084817692</v>
      </c>
    </row>
    <row r="8" spans="1:6" x14ac:dyDescent="0.25">
      <c r="A8" s="30">
        <v>0.075816</v>
      </c>
      <c r="B8" s="31">
        <v>81.0985278516889</v>
      </c>
      <c r="C8" s="31">
        <v>84.6525403560021</v>
      </c>
      <c r="D8" s="31">
        <v>88.97928255091732</v>
      </c>
      <c r="E8" s="31">
        <v>94.33174346557361</v>
      </c>
      <c r="F8" s="31">
        <v>101.08687774511287</v>
      </c>
    </row>
    <row r="9" spans="1:6" x14ac:dyDescent="0.25">
      <c r="A9" s="30">
        <v>0.085816</v>
      </c>
      <c r="B9" s="31">
        <v>67.06196840336649</v>
      </c>
      <c r="C9" s="31">
        <v>69.18446342013534</v>
      </c>
      <c r="D9" s="31">
        <v>71.71395842656483</v>
      </c>
      <c r="E9" s="31">
        <v>74.75983065937754</v>
      </c>
      <c r="F9" s="31">
        <v>78.47450570098354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16447000000</v>
      </c>
      <c r="C5" s="18">
        <v>16805000000</v>
      </c>
      <c r="D5" s="18">
        <v>17146000000</v>
      </c>
      <c r="E5" s="18">
        <v>20175000000</v>
      </c>
      <c r="F5" s="6" t="s">
        <v>91</v>
      </c>
    </row>
    <row r="6" spans="1:6" x14ac:dyDescent="0.25">
      <c r="A6" t="s">
        <v>51</v>
      </c>
      <c r="B6" s="18">
        <v>2351000000</v>
      </c>
      <c r="C6" s="18">
        <v>2797000000</v>
      </c>
      <c r="D6" s="18">
        <v>2586000000</v>
      </c>
      <c r="E6" s="18">
        <v>2681000000</v>
      </c>
      <c r="F6" s="6" t="s">
        <v>92</v>
      </c>
    </row>
    <row r="7" spans="1:6" x14ac:dyDescent="0.25">
      <c r="A7" t="s">
        <v>93</v>
      </c>
      <c r="B7" s="18">
        <v>805000000</v>
      </c>
      <c r="C7" s="18">
        <v>781000000</v>
      </c>
      <c r="D7" s="18">
        <v>753000000</v>
      </c>
      <c r="E7" s="18">
        <v>754000000</v>
      </c>
      <c r="F7" s="6" t="s">
        <v>94</v>
      </c>
    </row>
    <row r="8" spans="1:6" x14ac:dyDescent="0.25">
      <c r="A8" t="s">
        <v>95</v>
      </c>
      <c r="B8" s="18">
        <v>1138000000</v>
      </c>
      <c r="C8" s="18">
        <v>721000000</v>
      </c>
      <c r="D8" s="18">
        <v>766000000</v>
      </c>
      <c r="E8" s="18">
        <v>876000000</v>
      </c>
      <c r="F8" s="6" t="s">
        <v>96</v>
      </c>
    </row>
    <row r="9" spans="1:6" x14ac:dyDescent="0.25">
      <c r="A9" t="s">
        <v>97</v>
      </c>
      <c r="B9" s="18">
        <v>503000000</v>
      </c>
      <c r="C9" s="18">
        <v>-178000000</v>
      </c>
      <c r="D9" s="18">
        <v>-582000000</v>
      </c>
      <c r="E9" s="18">
        <v>17000000</v>
      </c>
      <c r="F9" s="6" t="s">
        <v>98</v>
      </c>
    </row>
    <row r="10" spans="1:6" x14ac:dyDescent="0.25">
      <c r="A10" t="s">
        <v>99</v>
      </c>
      <c r="B10" s="18">
        <v>7296000000</v>
      </c>
      <c r="C10" s="18">
        <v>7534000000</v>
      </c>
      <c r="D10" s="18">
        <v>8114000000</v>
      </c>
      <c r="E10" s="18">
        <v>8549000000</v>
      </c>
      <c r="F10" s="6" t="s">
        <v>100</v>
      </c>
    </row>
    <row r="11" spans="1:6" x14ac:dyDescent="0.25">
      <c r="A11" t="s">
        <v>101</v>
      </c>
      <c r="B11" s="18">
        <v>774000000</v>
      </c>
      <c r="C11" s="18">
        <v>1181000000</v>
      </c>
      <c r="D11" s="18">
        <v>1093000000</v>
      </c>
      <c r="E11" s="18">
        <v>427000000</v>
      </c>
      <c r="F11" s="6" t="s">
        <v>102</v>
      </c>
    </row>
    <row r="12" spans="1:6" x14ac:dyDescent="0.25">
      <c r="A12" t="s">
        <v>34</v>
      </c>
      <c r="B12" s="34">
        <v>333200000</v>
      </c>
      <c r="C12" s="34">
        <v>337000000</v>
      </c>
      <c r="D12" s="34">
        <v>338800000</v>
      </c>
      <c r="E12" s="34">
        <v>338300000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