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<sst xmlns="http://schemas.openxmlformats.org/spreadsheetml/2006/main" count="120" uniqueCount="103">
  <si>
    <t>KMD Brands Limited (KMD.NZ)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</si>
  <si>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</si>
  <si>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</si>
  <si>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</si>
  <si>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</si>
  <si>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</si>
  <si>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</si>
  <si>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</si>
  <si>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</si>
  <si>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</si>
  <si>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</si>
  <si>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</si>
  <si>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</si>
  <si>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</si>
  <si>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</si>
  <si>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</si>
  <si>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</si>
  <si>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</si>
  <si>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</si>
  <si>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</si>
  <si>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</si>
  <si>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</si>
  <si>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</si>
  <si>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</si>
  <si>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</si>
  <si>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</si>
  <si>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</si>
  <si>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</si>
  <si>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</si>
  <si>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</si>
  <si>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2025-07-31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</si>
  <si>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</si>
  <si>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</si>
  <si>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</si>
  <si>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</si>
  <si>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</si>
  <si>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</si>
  <si>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</si>
  <si>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</si>
  <si>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</si>
  <si>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</si>
  <si>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</si>
  <si>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</si>
  <si>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</si>
  <si>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</si>
  <si>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</si>
  <si>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</si>
  <si>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</si>
  <si>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</si>
  <si>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</si>
  <si>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</si>
  <si>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</si>
  <si>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</si>
  <si>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</si>
  <si>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</si>
  <si>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</si>
  <si>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</si>
  <si>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</si>
  <si>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</si>
  <si>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</si>
  <si>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</si>
  <si>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</si>
  <si>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</si>
  <si>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</si>
  <si>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</si>
  <si>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</si>
  <si>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</si>
  <si>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</si>
  <si>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</si>
  <si>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</si>
  <si>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</si>
  <si>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</si>
  <si>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</si>
  <si>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</si>
  <si>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</si>
  <si>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</si>
  <si>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</si>
  <si>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</si>
  <si>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</si>
  <si>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</si>
  <si>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2025-07-31</t>
  </si>
  <si>
    <t>2024-07-31</t>
  </si>
  <si>
    <t>2023-07-31</t>
  </si>
  <si>
    <t>2022-07-31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</si>
  <si>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</si>
  <si>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</si>
  <si>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</si>
  <si>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</si>
  <si>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</si>
  <si>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</si>
  <si>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</si>
  <si>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</si>
  <si>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</si>
  <si>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</si>
  <si>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</si>
  <si>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</si>
  <si>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</si>
  <si>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</si>
  <si>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</si>
  <si>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</si>
  <si>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3.14% of revenue against depreciation and amortisation of 12.39%. A business cannot depreciate more than it invests indefinitely. Capex has been set to 12.39%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</si>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</sst>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0.0033060165549687603</v>
      </c>
    </row>
    <row r="7" spans="1:2" x14ac:dyDescent="0.25">
      <c r="A7" t="s">
        <v>5</v>
      </c>
      <c r="B7" s="6">
        <v>0.016171238032338078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0.12387576448841411</v>
      </c>
    </row>
    <row r="10" spans="1:2" x14ac:dyDescent="0.25">
      <c r="A10" t="s">
        <v>8</v>
      </c>
      <c r="B10" s="6">
        <v>0.12387576448841411</v>
      </c>
    </row>
    <row r="11" spans="1:2" x14ac:dyDescent="0.25">
      <c r="A11" t="s">
        <v>9</v>
      </c>
      <c r="B11" s="6">
        <v>-0.003340729883975141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5.210837271295286</v>
      </c>
    </row>
    <row r="14" spans="1:3" x14ac:dyDescent="0.25">
      <c r="A14" t="s">
        <v>12</v>
      </c>
      <c r="B14" s="6">
        <v>0.03880909944716566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0.31793999999999994</v>
      </c>
      <c r="C19" s="8" t="s">
        <v>19</v>
      </c>
    </row>
    <row r="20" spans="1:2" x14ac:dyDescent="0.25">
      <c r="A20" t="s">
        <v>20</v>
      </c>
      <c r="B20" s="10">
        <f>B17+B19*B18</f>
        <v>0.06566609999999999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89459400</v>
      </c>
    </row>
    <row r="23" spans="1:2" x14ac:dyDescent="0.25">
      <c r="A23" t="s">
        <v>24</v>
      </c>
      <c r="B23" s="11">
        <v>374875000</v>
      </c>
    </row>
    <row r="24" spans="1:2" x14ac:dyDescent="0.25">
      <c r="A24" t="s">
        <v>25</v>
      </c>
      <c r="B24" s="10">
        <f>B22/(B22+B23)</f>
        <v>0.19266158182551196</v>
      </c>
    </row>
    <row r="25" spans="1:2" x14ac:dyDescent="0.25">
      <c r="A25" t="s">
        <v>26</v>
      </c>
      <c r="B25" s="10">
        <f>1-B24</f>
        <v>0.807338418174488</v>
      </c>
    </row>
    <row r="26" spans="1:2" x14ac:dyDescent="0.25">
      <c r="A26" t="s">
        <v>27</v>
      </c>
      <c r="B26" s="12">
        <f>B24*B20+B25*B21*(1-B8)</f>
        <v>0.03880909944716566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978805000</v>
      </c>
      <c r="C29" s="8" t="s">
        <v>30</v>
      </c>
    </row>
    <row r="30" spans="1:2" x14ac:dyDescent="0.25">
      <c r="A30" t="s">
        <v>31</v>
      </c>
      <c r="B30" s="11">
        <v>340591000</v>
      </c>
    </row>
    <row r="31" spans="1:2" x14ac:dyDescent="0.25">
      <c r="A31" t="s">
        <v>32</v>
      </c>
      <c r="B31" s="13">
        <v>47458566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0.0033060165549687603</v>
      </c>
      <c r="C5" s="10">
        <f>Assumptions!B6</f>
        <v>0.0033060165549687603</v>
      </c>
      <c r="D5" s="10">
        <f>Assumptions!B6</f>
        <v>0.0033060165549687603</v>
      </c>
      <c r="E5" s="10">
        <f>Assumptions!B6</f>
        <v>0.0033060165549687603</v>
      </c>
      <c r="F5" s="10">
        <f>Assumptions!B6</f>
        <v>0.0033060165549687603</v>
      </c>
    </row>
    <row r="6" spans="1:6" x14ac:dyDescent="0.25">
      <c r="A6" t="s">
        <v>43</v>
      </c>
      <c r="B6" s="18">
        <f>Assumptions!B29*(1+B5)</f>
        <v>982040945.5340862</v>
      </c>
      <c r="C6" s="18">
        <f>B6*(1+C5)</f>
        <v>985287589.1576791</v>
      </c>
      <c r="D6" s="18">
        <f>C6*(1+D5)</f>
        <v>988544966.2388396</v>
      </c>
      <c r="E6" s="18">
        <f>D6*(1+E5)</f>
        <v>991813112.2625563</v>
      </c>
      <c r="F6" s="18">
        <f>E6*(1+F5)</f>
        <v>995092062.8311315</v>
      </c>
    </row>
    <row r="7" spans="1:6" x14ac:dyDescent="0.25">
      <c r="A7" t="s">
        <v>5</v>
      </c>
      <c r="B7" s="10">
        <f>Assumptions!B7</f>
        <v>0.016171238032338078</v>
      </c>
      <c r="C7" s="10">
        <f>Assumptions!B7</f>
        <v>0.016171238032338078</v>
      </c>
      <c r="D7" s="10">
        <f>Assumptions!B7</f>
        <v>0.016171238032338078</v>
      </c>
      <c r="E7" s="10">
        <f>Assumptions!B7</f>
        <v>0.016171238032338078</v>
      </c>
      <c r="F7" s="10">
        <f>Assumptions!B7</f>
        <v>0.016171238032338078</v>
      </c>
    </row>
    <row r="8" spans="1:6" x14ac:dyDescent="0.25">
      <c r="A8" t="s">
        <v>44</v>
      </c>
      <c r="B8" s="18">
        <f>B6*B7</f>
        <v>15880817.887734061</v>
      </c>
      <c r="C8" s="18">
        <f>C6*C7</f>
        <v>15933320.134577354</v>
      </c>
      <c r="D8" s="18">
        <f>D6*D7</f>
        <v>15985995.954717884</v>
      </c>
      <c r="E8" s="18">
        <f>E6*E7</f>
        <v>16038845.921991846</v>
      </c>
      <c r="F8" s="18">
        <f>F6*F7</f>
        <v>16091870.612132546</v>
      </c>
    </row>
    <row r="9" spans="1:6" x14ac:dyDescent="0.25">
      <c r="A9" t="s">
        <v>45</v>
      </c>
      <c r="B9" s="18">
        <f>B8*(1-Assumptions!B8)</f>
        <v>11434188.879168523</v>
      </c>
      <c r="C9" s="18">
        <f>C8*(1-Assumptions!B8)</f>
        <v>11471990.496895695</v>
      </c>
      <c r="D9" s="18">
        <f>D8*(1-Assumptions!B8)</f>
        <v>11509917.087396875</v>
      </c>
      <c r="E9" s="18">
        <f>E8*(1-Assumptions!B8)</f>
        <v>11547969.063834129</v>
      </c>
      <c r="F9" s="18">
        <f>F8*(1-Assumptions!B8)</f>
        <v>11586146.840735432</v>
      </c>
    </row>
    <row r="10" spans="1:6" x14ac:dyDescent="0.25">
      <c r="A10" t="s">
        <v>46</v>
      </c>
      <c r="B10" s="18">
        <f>B6*Assumptions!B9</f>
        <v>121651072.88695998</v>
      </c>
      <c r="C10" s="18">
        <f>C6*Assumptions!B9</f>
        <v>122053253.34785397</v>
      </c>
      <c r="D10" s="18">
        <f>D6*Assumptions!B9</f>
        <v>122456763.42400979</v>
      </c>
      <c r="E10" s="18">
        <f>E6*Assumptions!B9</f>
        <v>122861607.51115745</v>
      </c>
      <c r="F10" s="18">
        <f>F6*Assumptions!B9</f>
        <v>123267790.01955941</v>
      </c>
    </row>
    <row r="11" spans="1:6" x14ac:dyDescent="0.25">
      <c r="A11" t="s">
        <v>47</v>
      </c>
      <c r="B11" s="18">
        <f>-B6*Assumptions!B10</f>
        <v>-121651072.88695998</v>
      </c>
      <c r="C11" s="18">
        <f>-C6*Assumptions!B10</f>
        <v>-122053253.34785397</v>
      </c>
      <c r="D11" s="18">
        <f>-D6*Assumptions!B10</f>
        <v>-122456763.42400979</v>
      </c>
      <c r="E11" s="18">
        <f>-E6*Assumptions!B10</f>
        <v>-122861607.51115745</v>
      </c>
      <c r="F11" s="18">
        <f>-F6*Assumptions!B10</f>
        <v>-123267790.01955941</v>
      </c>
    </row>
    <row r="12" spans="1:6" x14ac:dyDescent="0.25">
      <c r="A12" t="s">
        <v>48</v>
      </c>
      <c r="B12" s="18">
        <f>-(B6-Assumptions!B29)*Assumptions!B11</f>
        <v>10810.419948637758</v>
      </c>
      <c r="C12" s="18">
        <f>-(C6-B6)*Assumptions!B11</f>
        <v>10846.159375953985</v>
      </c>
      <c r="D12" s="18">
        <f>-(D6-C6)*Assumptions!B11</f>
        <v>10882.016958408753</v>
      </c>
      <c r="E12" s="18">
        <f>-(E6-D6)*Assumptions!B11</f>
        <v>10917.99308662487</v>
      </c>
      <c r="F12" s="18">
        <f>-(F6-E6)*Assumptions!B11</f>
        <v>10954.088152516264</v>
      </c>
    </row>
    <row r="13" spans="1:6" x14ac:dyDescent="0.25">
      <c r="A13" s="19" t="s">
        <v>49</v>
      </c>
      <c r="B13" s="20">
        <f>B9+B10+B11+B12</f>
        <v>11444999.299117163</v>
      </c>
      <c r="C13" s="20">
        <f>C9+C10+C11+C12</f>
        <v>11482836.656271655</v>
      </c>
      <c r="D13" s="20">
        <f>D9+D10+D11+D12</f>
        <v>11520799.104355283</v>
      </c>
      <c r="E13" s="20">
        <f>E9+E10+E11+E12</f>
        <v>11558887.056920756</v>
      </c>
      <c r="F13" s="20">
        <f>F9+F10+F11+F12</f>
        <v>11597100.928887952</v>
      </c>
    </row>
    <row r="14" spans="1:6" x14ac:dyDescent="0.25">
      <c r="A14" t="s">
        <v>50</v>
      </c>
      <c r="B14" s="21">
        <f>1/(1+Assumptions!$B$26)^(1-0.5*Assumptions!$B$32)</f>
        <v>0.9811425881608361</v>
      </c>
      <c r="C14" s="21">
        <f>1/(1+Assumptions!$B$26)^(2-0.5*Assumptions!$B$32)</f>
        <v>0.944487864693312</v>
      </c>
      <c r="D14" s="21">
        <f>1/(1+Assumptions!$B$26)^(3-0.5*Assumptions!$B$32)</f>
        <v>0.9092025331660557</v>
      </c>
      <c r="E14" s="21">
        <f>1/(1+Assumptions!$B$26)^(4-0.5*Assumptions!$B$32)</f>
        <v>0.8752354341619801</v>
      </c>
      <c r="F14" s="21">
        <f>1/(1+Assumptions!$B$26)^(5-0.5*Assumptions!$B$32)</f>
        <v>0.8425373195400038</v>
      </c>
    </row>
    <row r="15" spans="1:6" x14ac:dyDescent="0.25">
      <c r="A15" s="19" t="s">
        <v>51</v>
      </c>
      <c r="B15" s="20">
        <f>B13*B14</f>
        <v>11229176.233834768</v>
      </c>
      <c r="C15" s="20">
        <f>C13*C14</f>
        <v>10845399.874104107</v>
      </c>
      <c r="D15" s="20">
        <f>D13*D14</f>
        <v>10474739.72977705</v>
      </c>
      <c r="E15" s="20">
        <f>E13*E14</f>
        <v>10116747.53169333</v>
      </c>
      <c r="F15" s="20">
        <f>F13*F14</f>
        <v>9770990.331060143</v>
      </c>
    </row>
    <row r="17" spans="1:2" x14ac:dyDescent="0.25">
      <c r="A17" s="22" t="s">
        <v>52</v>
      </c>
      <c r="B17" s="23">
        <f>SUM(B15:F15)</f>
        <v>52437053.7004694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11597100.928887952</v>
      </c>
    </row>
    <row r="5" spans="1:2" x14ac:dyDescent="0.25">
      <c r="A5" t="s">
        <v>56</v>
      </c>
      <c r="B5" s="18">
        <f>IF(Assumptions!$B$33=0,B4,B4-Forecast!F11-Forecast!F10-Forecast!F12)</f>
        <v>11586146.840735432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0.6441788229081369</v>
      </c>
    </row>
    <row r="7" spans="1:2" x14ac:dyDescent="0.25">
      <c r="A7" t="s">
        <v>58</v>
      </c>
      <c r="B7" s="18">
        <f>-MAX(Forecast!F9,0)*B6</f>
        <v>-7463550.433905779</v>
      </c>
    </row>
    <row r="8" spans="1:2" x14ac:dyDescent="0.25">
      <c r="A8" t="s">
        <v>59</v>
      </c>
      <c r="B8" s="18">
        <f>IF(OR(Assumptions!$B$33=0,Assumptions!B12&lt;=0),B5,MAX(B5+B7,0))</f>
        <v>4122596.4068296524</v>
      </c>
    </row>
    <row r="9" spans="1:2" x14ac:dyDescent="0.25">
      <c r="A9" t="s">
        <v>60</v>
      </c>
      <c r="B9" s="18">
        <f>B8*(1+Assumptions!B12)/(Assumptions!B26-Assumptions!B12)</f>
        <v>306005567.790137</v>
      </c>
    </row>
    <row r="10" spans="1:2" x14ac:dyDescent="0.25">
      <c r="A10" t="s">
        <v>61</v>
      </c>
      <c r="B10" s="18">
        <f>B9/(1+Assumptions!B26)^(5-0.5*Assumptions!B32)</f>
        <v>257821110.85021895</v>
      </c>
    </row>
    <row r="11" spans="1:2" x14ac:dyDescent="0.25">
      <c r="A11" t="s">
        <v>62</v>
      </c>
      <c r="B11" s="18">
        <f>Forecast!B17+B10</f>
        <v>310258164.5506883</v>
      </c>
    </row>
    <row r="12" spans="1:2" x14ac:dyDescent="0.25">
      <c r="A12" t="s">
        <v>63</v>
      </c>
      <c r="B12" s="18">
        <f>-Assumptions!B30</f>
        <v>-340591000</v>
      </c>
    </row>
    <row r="13" spans="1:2" x14ac:dyDescent="0.25">
      <c r="A13" t="s">
        <v>64</v>
      </c>
      <c r="B13" s="18">
        <f>B11+B12</f>
        <v>-30332835.449311674</v>
      </c>
    </row>
    <row r="14" spans="1:2" x14ac:dyDescent="0.25">
      <c r="A14" s="19" t="s">
        <v>65</v>
      </c>
      <c r="B14" s="24">
        <f>B13/Assumptions!B31</f>
        <v>-0.6391435309973688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139359660.63169196</v>
      </c>
    </row>
    <row r="18" spans="1:2" x14ac:dyDescent="0.25">
      <c r="A18" t="s">
        <v>60</v>
      </c>
      <c r="B18" s="18">
        <f>B17*Assumptions!B13</f>
        <v>726180513.7346829</v>
      </c>
    </row>
    <row r="19" spans="1:2" x14ac:dyDescent="0.25">
      <c r="A19" t="s">
        <v>61</v>
      </c>
      <c r="B19" s="18">
        <f>B18/(1+Assumptions!B26)^(5-0.5*Assumptions!B32)</f>
        <v>611834183.5442027</v>
      </c>
    </row>
    <row r="20" spans="1:2" x14ac:dyDescent="0.25">
      <c r="A20" t="s">
        <v>62</v>
      </c>
      <c r="B20" s="18">
        <f>Forecast!B17+B19</f>
        <v>664271237.2446721</v>
      </c>
    </row>
    <row r="21" spans="1:2" x14ac:dyDescent="0.25">
      <c r="A21" t="s">
        <v>63</v>
      </c>
      <c r="B21" s="18">
        <f>-Assumptions!B30</f>
        <v>-340591000</v>
      </c>
    </row>
    <row r="22" spans="1:2" x14ac:dyDescent="0.25">
      <c r="A22" t="s">
        <v>64</v>
      </c>
      <c r="B22" s="18">
        <f>B20+B21</f>
        <v>323680237.24467206</v>
      </c>
    </row>
    <row r="23" spans="1:2" x14ac:dyDescent="0.25">
      <c r="A23" s="19" t="s">
        <v>65</v>
      </c>
      <c r="B23" s="25">
        <f>B22/Assumptions!B31</f>
        <v>6.8202700697840735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1.885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-0.6391435309973688</v>
      </c>
    </row>
    <row r="29" spans="1:2" x14ac:dyDescent="0.25">
      <c r="A29" s="19" t="s">
        <v>73</v>
      </c>
      <c r="B29" s="12">
        <f>B28/B26-1</f>
        <v>-1.3390681862055007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0.018809</v>
      </c>
      <c r="B5" s="31">
        <v>28.394679756958553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0.028809</v>
      </c>
      <c r="B6" s="31">
        <v>3.03866657664869</v>
      </c>
      <c r="C6" s="31">
        <v>4.74274270956925</v>
      </c>
      <c r="D6" s="31">
        <v>10.840775031669086</v>
      </c>
      <c r="E6" s="31" t="s">
        <v>76</v>
      </c>
      <c r="F6" s="31" t="s">
        <v>76</v>
      </c>
    </row>
    <row r="7" spans="1:6" x14ac:dyDescent="0.25">
      <c r="A7" s="30">
        <v>0.038809</v>
      </c>
      <c r="B7" s="31">
        <v>-0.6921276753216895</v>
      </c>
      <c r="C7" s="31">
        <v>-0.6656273440664878</v>
      </c>
      <c r="D7" s="32">
        <v>-0.6391270128112899</v>
      </c>
      <c r="E7" s="31">
        <v>-0.6126266815560869</v>
      </c>
      <c r="F7" s="31">
        <v>-0.4825788627265861</v>
      </c>
    </row>
    <row r="8" spans="1:6" x14ac:dyDescent="0.25">
      <c r="A8" s="30">
        <v>0.048809</v>
      </c>
      <c r="B8" s="31">
        <v>-2.000113575176778</v>
      </c>
      <c r="C8" s="31">
        <v>-1.979931738524527</v>
      </c>
      <c r="D8" s="31">
        <v>-1.9597499018722775</v>
      </c>
      <c r="E8" s="31">
        <v>-1.9395680652200264</v>
      </c>
      <c r="F8" s="31">
        <v>-1.9193862285677767</v>
      </c>
    </row>
    <row r="9" spans="1:6" x14ac:dyDescent="0.25">
      <c r="A9" s="30">
        <v>0.058809</v>
      </c>
      <c r="B9" s="31">
        <v>-2.8632324139077863</v>
      </c>
      <c r="C9" s="31">
        <v>-2.847182551351231</v>
      </c>
      <c r="D9" s="31">
        <v>-2.831132688794677</v>
      </c>
      <c r="E9" s="31">
        <v>-2.815082826238122</v>
      </c>
      <c r="F9" s="31">
        <v>-2.7990329636815665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978805000</v>
      </c>
      <c r="C5" s="18">
        <v>971055000</v>
      </c>
      <c r="D5" s="18">
        <v>1091290000</v>
      </c>
      <c r="E5" s="18">
        <v>969161000</v>
      </c>
      <c r="F5" s="8" t="s">
        <v>85</v>
      </c>
    </row>
    <row r="6" spans="1:6" x14ac:dyDescent="0.25">
      <c r="A6" t="s">
        <v>44</v>
      </c>
      <c r="B6" s="18">
        <v>-48547000</v>
      </c>
      <c r="C6" s="18">
        <v>8072000</v>
      </c>
      <c r="D6" s="18">
        <v>62812000</v>
      </c>
      <c r="E6" s="18">
        <v>46920000</v>
      </c>
      <c r="F6" s="8" t="s">
        <v>86</v>
      </c>
    </row>
    <row r="7" spans="1:6" x14ac:dyDescent="0.25">
      <c r="A7" t="s">
        <v>87</v>
      </c>
      <c r="B7" s="18">
        <v>131077000</v>
      </c>
      <c r="C7" s="18">
        <v>128303000</v>
      </c>
      <c r="D7" s="18">
        <v>123713000</v>
      </c>
      <c r="E7" s="18">
        <v>112516000</v>
      </c>
      <c r="F7" s="8" t="s">
        <v>88</v>
      </c>
    </row>
    <row r="8" spans="1:6" x14ac:dyDescent="0.25">
      <c r="A8" t="s">
        <v>89</v>
      </c>
      <c r="B8" s="18">
        <v>24578000</v>
      </c>
      <c r="C8" s="18">
        <v>32521000</v>
      </c>
      <c r="D8" s="18">
        <v>35988000</v>
      </c>
      <c r="E8" s="18">
        <v>32833000</v>
      </c>
      <c r="F8" s="8" t="s">
        <v>90</v>
      </c>
    </row>
    <row r="9" spans="1:6" x14ac:dyDescent="0.25">
      <c r="A9" t="s">
        <v>91</v>
      </c>
      <c r="B9" s="18">
        <v>-37774000</v>
      </c>
      <c r="C9" s="18">
        <v>-30598000</v>
      </c>
      <c r="D9" s="18">
        <v>-408000</v>
      </c>
      <c r="E9" s="18">
        <v>0</v>
      </c>
      <c r="F9" s="8" t="s">
        <v>92</v>
      </c>
    </row>
    <row r="10" spans="1:6" x14ac:dyDescent="0.25">
      <c r="A10" t="s">
        <v>93</v>
      </c>
      <c r="B10" s="18">
        <v>374875000</v>
      </c>
      <c r="C10" s="18">
        <v>387776000</v>
      </c>
      <c r="D10" s="18">
        <v>407309000</v>
      </c>
      <c r="E10" s="18">
        <v>395468000</v>
      </c>
      <c r="F10" s="8" t="s">
        <v>94</v>
      </c>
    </row>
    <row r="11" spans="1:6" x14ac:dyDescent="0.25">
      <c r="A11" t="s">
        <v>95</v>
      </c>
      <c r="B11" s="18">
        <v>34284000</v>
      </c>
      <c r="C11" s="18">
        <v>33948000</v>
      </c>
      <c r="D11" s="18">
        <v>49488000</v>
      </c>
      <c r="E11" s="18">
        <v>70810000</v>
      </c>
      <c r="F11" s="8" t="s">
        <v>96</v>
      </c>
    </row>
    <row r="12" spans="1:6" x14ac:dyDescent="0.25">
      <c r="A12" t="s">
        <v>32</v>
      </c>
      <c r="B12" s="34">
        <v>47458566</v>
      </c>
      <c r="C12" s="34">
        <v>47450585</v>
      </c>
      <c r="D12" s="34">
        <v>47432956</v>
      </c>
      <c r="E12" s="34">
        <v>47950214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70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2026-09-19T00:09:34Z</dcterms:modified>
</cp:coreProperties>
</file>