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<sst xmlns="http://schemas.openxmlformats.org/spreadsheetml/2006/main" count="111" uniqueCount="99">
  <si>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Kinder Morgan, Inc. (KMI)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</si>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</sst>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-0.040941527613036044</v>
      </c>
    </row>
    <row r="7" spans="1:2" x14ac:dyDescent="0.25">
      <c r="A7" t="s">
        <v>5</v>
      </c>
      <c r="B7" s="6">
        <v>0.26474387758543116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0.14032795021666924</v>
      </c>
    </row>
    <row r="10" spans="1:2" x14ac:dyDescent="0.25">
      <c r="A10" t="s">
        <v>8</v>
      </c>
      <c r="B10" s="6">
        <v>0.14707431757974418</v>
      </c>
    </row>
    <row r="11" spans="1:2" x14ac:dyDescent="0.25">
      <c r="A11" t="s">
        <v>9</v>
      </c>
      <c r="B11" s="6">
        <v>0.0587915078933043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14.298506781106312</v>
      </c>
    </row>
    <row r="14" spans="1:3" x14ac:dyDescent="0.25">
      <c r="A14" t="s">
        <v>12</v>
      </c>
      <c r="B14" s="6">
        <v>0.07817389660632633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0.6991700000000001</v>
      </c>
      <c r="C19" s="8" t="s">
        <v>19</v>
      </c>
    </row>
    <row r="20" spans="1:2" x14ac:dyDescent="0.25">
      <c r="A20" t="s">
        <v>20</v>
      </c>
      <c r="B20" s="10">
        <f>B17+B19*B18</f>
        <v>0.08843435000000001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70901383168</v>
      </c>
    </row>
    <row r="23" spans="1:2" x14ac:dyDescent="0.25">
      <c r="A23" t="s">
        <v>24</v>
      </c>
      <c r="B23" s="11">
        <v>31782000000</v>
      </c>
    </row>
    <row r="24" spans="1:2" x14ac:dyDescent="0.25">
      <c r="A24" t="s">
        <v>25</v>
      </c>
      <c r="B24" s="10">
        <f>B22/(B22+B23)</f>
        <v>0.6904854610409402</v>
      </c>
    </row>
    <row r="25" spans="1:2" x14ac:dyDescent="0.25">
      <c r="A25" t="s">
        <v>26</v>
      </c>
      <c r="B25" s="10">
        <f>1-B24</f>
        <v>0.3095145389590598</v>
      </c>
    </row>
    <row r="26" spans="1:2" x14ac:dyDescent="0.25">
      <c r="A26" t="s">
        <v>27</v>
      </c>
      <c r="B26" s="12">
        <f>B24*B20+B25*B21*(1-B8)</f>
        <v>0.07817389660632633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16937000000</v>
      </c>
      <c r="C29" s="8" t="s">
        <v>30</v>
      </c>
    </row>
    <row r="30" spans="1:2" x14ac:dyDescent="0.25">
      <c r="A30" t="s">
        <v>31</v>
      </c>
      <c r="B30" s="11">
        <v>31719000000</v>
      </c>
    </row>
    <row r="31" spans="1:2" x14ac:dyDescent="0.25">
      <c r="A31" t="s">
        <v>32</v>
      </c>
      <c r="B31" s="13">
        <v>2222977770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-0.040941527613036044</v>
      </c>
      <c r="C5" s="10">
        <f>Assumptions!B6</f>
        <v>-0.040941527613036044</v>
      </c>
      <c r="D5" s="10">
        <f>Assumptions!B6</f>
        <v>-0.040941527613036044</v>
      </c>
      <c r="E5" s="10">
        <f>Assumptions!B6</f>
        <v>-0.040941527613036044</v>
      </c>
      <c r="F5" s="10">
        <f>Assumptions!B6</f>
        <v>-0.040941527613036044</v>
      </c>
    </row>
    <row r="6" spans="1:6" x14ac:dyDescent="0.25">
      <c r="A6" t="s">
        <v>43</v>
      </c>
      <c r="B6" s="18">
        <f>Assumptions!B29*(1+B5)</f>
        <v>16243573346.818008</v>
      </c>
      <c r="C6" s="18">
        <f>B6*(1+C5)</f>
        <v>15578536640.104883</v>
      </c>
      <c r="D6" s="18">
        <f>C6*(1+D5)</f>
        <v>14940727552.083336</v>
      </c>
      <c r="E6" s="18">
        <f>D6*(1+E5)</f>
        <v>14329031342.450867</v>
      </c>
      <c r="F6" s="18">
        <f>E6*(1+F5)</f>
        <v>13742378910.075855</v>
      </c>
    </row>
    <row r="7" spans="1:6" x14ac:dyDescent="0.25">
      <c r="A7" t="s">
        <v>5</v>
      </c>
      <c r="B7" s="10">
        <f>Assumptions!B7</f>
        <v>0.26474387758543116</v>
      </c>
      <c r="C7" s="10">
        <f>Assumptions!B7</f>
        <v>0.26474387758543116</v>
      </c>
      <c r="D7" s="10">
        <f>Assumptions!B7</f>
        <v>0.26474387758543116</v>
      </c>
      <c r="E7" s="10">
        <f>Assumptions!B7</f>
        <v>0.26474387758543116</v>
      </c>
      <c r="F7" s="10">
        <f>Assumptions!B7</f>
        <v>0.26474387758543116</v>
      </c>
    </row>
    <row r="8" spans="1:6" x14ac:dyDescent="0.25">
      <c r="A8" t="s">
        <v>44</v>
      </c>
      <c r="B8" s="18">
        <f>B6*B7</f>
        <v>4300386593.679959</v>
      </c>
      <c r="C8" s="18">
        <f>C6*C7</f>
        <v>4124322197.2080812</v>
      </c>
      <c r="D8" s="18">
        <f>D6*D7</f>
        <v>3955466146.0860295</v>
      </c>
      <c r="E8" s="18">
        <f>E6*E7</f>
        <v>3793523319.6436186</v>
      </c>
      <c r="F8" s="18">
        <f>F6*F7</f>
        <v>3638210679.9017334</v>
      </c>
    </row>
    <row r="9" spans="1:6" x14ac:dyDescent="0.25">
      <c r="A9" t="s">
        <v>45</v>
      </c>
      <c r="B9" s="18">
        <f>B8*(1-Assumptions!B8)</f>
        <v>3397305409.007168</v>
      </c>
      <c r="C9" s="18">
        <f>C8*(1-Assumptions!B8)</f>
        <v>3258214535.7943845</v>
      </c>
      <c r="D9" s="18">
        <f>D8*(1-Assumptions!B8)</f>
        <v>3124818255.4079633</v>
      </c>
      <c r="E9" s="18">
        <f>E8*(1-Assumptions!B8)</f>
        <v>2996883422.518459</v>
      </c>
      <c r="F9" s="18">
        <f>F8*(1-Assumptions!B8)</f>
        <v>2874186437.1223693</v>
      </c>
    </row>
    <row r="10" spans="1:6" x14ac:dyDescent="0.25">
      <c r="A10" t="s">
        <v>46</v>
      </c>
      <c r="B10" s="18">
        <f>B6*Assumptions!B9</f>
        <v>2279427351.953093</v>
      </c>
      <c r="C10" s="18">
        <f>C6*Assumptions!B9</f>
        <v>2186104114.081196</v>
      </c>
      <c r="D10" s="18">
        <f>D6*Assumptions!B9</f>
        <v>2096601672.1295688</v>
      </c>
      <c r="E10" s="18">
        <f>E6*Assumptions!B9</f>
        <v>2010763596.8765385</v>
      </c>
      <c r="F10" s="18">
        <f>F6*Assumptions!B9</f>
        <v>1928439863.55173</v>
      </c>
    </row>
    <row r="11" spans="1:6" x14ac:dyDescent="0.25">
      <c r="A11" t="s">
        <v>47</v>
      </c>
      <c r="B11" s="18">
        <f>-B6*Assumptions!B10</f>
        <v>-2389012465.0397797</v>
      </c>
      <c r="C11" s="18">
        <f>-C6*Assumptions!B10</f>
        <v>-2291202645.2344666</v>
      </c>
      <c r="D11" s="18">
        <f>-D6*Assumptions!B10</f>
        <v>-2197397308.8675385</v>
      </c>
      <c r="E11" s="18">
        <f>-E6*Assumptions!B10</f>
        <v>-2107432506.2697268</v>
      </c>
      <c r="F11" s="18">
        <f>-F6*Assumptions!B10</f>
        <v>-2021151000.121675</v>
      </c>
    </row>
    <row r="12" spans="1:6" x14ac:dyDescent="0.25">
      <c r="A12" t="s">
        <v>48</v>
      </c>
      <c r="B12" s="18">
        <f>-(B6-Assumptions!B29)*Assumptions!B11</f>
        <v>40767598.55397664</v>
      </c>
      <c r="C12" s="18">
        <f>-(C6-B6)*Assumptions!B11</f>
        <v>39098510.7920618</v>
      </c>
      <c r="D12" s="18">
        <f>-(D6-C6)*Assumptions!B11</f>
        <v>37497758.03284001</v>
      </c>
      <c r="E12" s="18">
        <f>-(E6-D6)*Assumptions!B11</f>
        <v>35962542.53691163</v>
      </c>
      <c r="F12" s="18">
        <f>-(F6-E6)*Assumptions!B11</f>
        <v>34490181.10860165</v>
      </c>
    </row>
    <row r="13" spans="1:6" x14ac:dyDescent="0.25">
      <c r="A13" s="19" t="s">
        <v>49</v>
      </c>
      <c r="B13" s="20">
        <f>B9+B10+B11+B12</f>
        <v>3328487894.4744573</v>
      </c>
      <c r="C13" s="20">
        <f>C9+C10+C11+C12</f>
        <v>3192214515.433175</v>
      </c>
      <c r="D13" s="20">
        <f>D9+D10+D11+D12</f>
        <v>3061520376.702833</v>
      </c>
      <c r="E13" s="20">
        <f>E9+E10+E11+E12</f>
        <v>2936177055.6621823</v>
      </c>
      <c r="F13" s="20">
        <f>F9+F10+F11+F12</f>
        <v>2815965481.6610255</v>
      </c>
    </row>
    <row r="14" spans="1:6" x14ac:dyDescent="0.25">
      <c r="A14" t="s">
        <v>50</v>
      </c>
      <c r="B14" s="21">
        <f>1/(1+Assumptions!$B$26)^(1-0.5*Assumptions!$B$32)</f>
        <v>0.9630649858105313</v>
      </c>
      <c r="C14" s="21">
        <f>1/(1+Assumptions!$B$26)^(2-0.5*Assumptions!$B$32)</f>
        <v>0.8932371566793508</v>
      </c>
      <c r="D14" s="21">
        <f>1/(1+Assumptions!$B$26)^(3-0.5*Assumptions!$B$32)</f>
        <v>0.8284722524732933</v>
      </c>
      <c r="E14" s="21">
        <f>1/(1+Assumptions!$B$26)^(4-0.5*Assumptions!$B$32)</f>
        <v>0.7684031816027108</v>
      </c>
      <c r="F14" s="21">
        <f>1/(1+Assumptions!$B$26)^(5-0.5*Assumptions!$B$32)</f>
        <v>0.7126894687594889</v>
      </c>
    </row>
    <row r="15" spans="1:6" x14ac:dyDescent="0.25">
      <c r="A15" s="19" t="s">
        <v>51</v>
      </c>
      <c r="B15" s="20">
        <f>B13*B14</f>
        <v>3205550146.8625684</v>
      </c>
      <c r="C15" s="20">
        <f>C13*C14</f>
        <v>2851404617.2760806</v>
      </c>
      <c r="D15" s="20">
        <f>D13*D14</f>
        <v>2536384682.4798813</v>
      </c>
      <c r="E15" s="20">
        <f>E13*E14</f>
        <v>2256167791.3197007</v>
      </c>
      <c r="F15" s="20">
        <f>F13*F14</f>
        <v>2006908943.1700547</v>
      </c>
    </row>
    <row r="17" spans="1:2" x14ac:dyDescent="0.25">
      <c r="A17" s="22" t="s">
        <v>52</v>
      </c>
      <c r="B17" s="23">
        <f>SUM(B15:F15)</f>
        <v>12856416181.108286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2815965481.6610255</v>
      </c>
    </row>
    <row r="5" spans="1:2" x14ac:dyDescent="0.25">
      <c r="A5" t="s">
        <v>56</v>
      </c>
      <c r="B5" s="18">
        <f>IF(Assumptions!$B$33=0,B4,B4-Forecast!F11-Forecast!F10-Forecast!F12)</f>
        <v>2874186437.1223693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0.31979984477295254</v>
      </c>
    </row>
    <row r="7" spans="1:2" x14ac:dyDescent="0.25">
      <c r="A7" t="s">
        <v>58</v>
      </c>
      <c r="B7" s="18">
        <f>-MAX(Forecast!F9,0)*B6</f>
        <v>-919164376.4402592</v>
      </c>
    </row>
    <row r="8" spans="1:2" x14ac:dyDescent="0.25">
      <c r="A8" t="s">
        <v>59</v>
      </c>
      <c r="B8" s="18">
        <f>IF(OR(Assumptions!$B$33=0,Assumptions!B12&lt;=0),B5,MAX(B5+B7,0))</f>
        <v>1955022060.68211</v>
      </c>
    </row>
    <row r="9" spans="1:2" x14ac:dyDescent="0.25">
      <c r="A9" t="s">
        <v>60</v>
      </c>
      <c r="B9" s="18">
        <f>B8*(1+Assumptions!B12)/(Assumptions!B26-Assumptions!B12)</f>
        <v>37685739434.05062</v>
      </c>
    </row>
    <row r="10" spans="1:2" x14ac:dyDescent="0.25">
      <c r="A10" t="s">
        <v>61</v>
      </c>
      <c r="B10" s="18">
        <f>B9/(1+Assumptions!B26)^(5-0.5*Assumptions!B32)</f>
        <v>26858229617.062057</v>
      </c>
    </row>
    <row r="11" spans="1:2" x14ac:dyDescent="0.25">
      <c r="A11" t="s">
        <v>62</v>
      </c>
      <c r="B11" s="18">
        <f>Forecast!B17+B10</f>
        <v>39714645798.17034</v>
      </c>
    </row>
    <row r="12" spans="1:2" x14ac:dyDescent="0.25">
      <c r="A12" t="s">
        <v>63</v>
      </c>
      <c r="B12" s="18">
        <f>-Assumptions!B30</f>
        <v>-31719000000</v>
      </c>
    </row>
    <row r="13" spans="1:2" x14ac:dyDescent="0.25">
      <c r="A13" t="s">
        <v>64</v>
      </c>
      <c r="B13" s="18">
        <f>B11+B12</f>
        <v>7995645798.1703415</v>
      </c>
    </row>
    <row r="14" spans="1:2" x14ac:dyDescent="0.25">
      <c r="A14" s="19" t="s">
        <v>65</v>
      </c>
      <c r="B14" s="24">
        <f>B13/Assumptions!B31</f>
        <v>3.596817703746242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5566650543.453464</v>
      </c>
    </row>
    <row r="18" spans="1:2" x14ac:dyDescent="0.25">
      <c r="A18" t="s">
        <v>60</v>
      </c>
      <c r="B18" s="18">
        <f>B17*Assumptions!B13</f>
        <v>79594790543.61848</v>
      </c>
    </row>
    <row r="19" spans="1:2" x14ac:dyDescent="0.25">
      <c r="A19" t="s">
        <v>61</v>
      </c>
      <c r="B19" s="18">
        <f>B18/(1+Assumptions!B26)^(5-0.5*Assumptions!B32)</f>
        <v>56726368988.55425</v>
      </c>
    </row>
    <row r="20" spans="1:2" x14ac:dyDescent="0.25">
      <c r="A20" t="s">
        <v>62</v>
      </c>
      <c r="B20" s="18">
        <f>Forecast!B17+B19</f>
        <v>69582785169.66254</v>
      </c>
    </row>
    <row r="21" spans="1:2" x14ac:dyDescent="0.25">
      <c r="A21" t="s">
        <v>63</v>
      </c>
      <c r="B21" s="18">
        <f>-Assumptions!B30</f>
        <v>-31719000000</v>
      </c>
    </row>
    <row r="22" spans="1:2" x14ac:dyDescent="0.25">
      <c r="A22" t="s">
        <v>64</v>
      </c>
      <c r="B22" s="18">
        <f>B20+B21</f>
        <v>37863785169.66254</v>
      </c>
    </row>
    <row r="23" spans="1:2" x14ac:dyDescent="0.25">
      <c r="A23" s="19" t="s">
        <v>65</v>
      </c>
      <c r="B23" s="25">
        <f>B22/Assumptions!B31</f>
        <v>17.032912195816756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31.84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3.596817703746242</v>
      </c>
    </row>
    <row r="29" spans="1:2" x14ac:dyDescent="0.25">
      <c r="A29" s="19" t="s">
        <v>73</v>
      </c>
      <c r="B29" s="12">
        <f>B28/B26-1</f>
        <v>-0.887034619857216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0.058174</v>
      </c>
      <c r="B5" s="31">
        <v>9.258421414747517</v>
      </c>
      <c r="C5" s="31">
        <v>9.344583064270173</v>
      </c>
      <c r="D5" s="31">
        <v>9.430744713792823</v>
      </c>
      <c r="E5" s="31">
        <v>9.516906363315487</v>
      </c>
      <c r="F5" s="31">
        <v>9.603068012838136</v>
      </c>
    </row>
    <row r="6" spans="1:6" x14ac:dyDescent="0.25">
      <c r="A6" s="30">
        <v>0.068174</v>
      </c>
      <c r="B6" s="31">
        <v>5.945362983395218</v>
      </c>
      <c r="C6" s="31">
        <v>6.01583911072461</v>
      </c>
      <c r="D6" s="31">
        <v>6.086315238053994</v>
      </c>
      <c r="E6" s="31">
        <v>6.156791365383386</v>
      </c>
      <c r="F6" s="31">
        <v>6.227267492712768</v>
      </c>
    </row>
    <row r="7" spans="1:6" x14ac:dyDescent="0.25">
      <c r="A7" s="30">
        <v>0.078174</v>
      </c>
      <c r="B7" s="31">
        <v>3.478921357299865</v>
      </c>
      <c r="C7" s="31">
        <v>3.5378583049279513</v>
      </c>
      <c r="D7" s="32">
        <v>3.596795252556034</v>
      </c>
      <c r="E7" s="31">
        <v>3.655732200184117</v>
      </c>
      <c r="F7" s="31">
        <v>3.7146691478121996</v>
      </c>
    </row>
    <row r="8" spans="1:6" x14ac:dyDescent="0.25">
      <c r="A8" s="30">
        <v>0.088174</v>
      </c>
      <c r="B8" s="31">
        <v>1.571061115597834</v>
      </c>
      <c r="C8" s="31">
        <v>1.6211875397778515</v>
      </c>
      <c r="D8" s="31">
        <v>1.6713139639578656</v>
      </c>
      <c r="E8" s="31">
        <v>1.7214403881378866</v>
      </c>
      <c r="F8" s="31">
        <v>1.7715668123179005</v>
      </c>
    </row>
    <row r="9" spans="1:6" x14ac:dyDescent="0.25">
      <c r="A9" s="30">
        <v>0.098174</v>
      </c>
      <c r="B9" s="31">
        <v>0.05110400337452057</v>
      </c>
      <c r="C9" s="31">
        <v>0.094308915510023</v>
      </c>
      <c r="D9" s="31">
        <v>0.1375138276455186</v>
      </c>
      <c r="E9" s="31">
        <v>0.18071873978102101</v>
      </c>
      <c r="F9" s="31">
        <v>0.22392365191652003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16937000000</v>
      </c>
      <c r="C5" s="18">
        <v>15100000000</v>
      </c>
      <c r="D5" s="18">
        <v>15334000000</v>
      </c>
      <c r="E5" s="18">
        <v>19200000000</v>
      </c>
      <c r="F5" s="8" t="s">
        <v>84</v>
      </c>
    </row>
    <row r="6" spans="1:6" x14ac:dyDescent="0.25">
      <c r="A6" t="s">
        <v>44</v>
      </c>
      <c r="B6" s="18">
        <v>4724000000</v>
      </c>
      <c r="C6" s="18">
        <v>4384000000</v>
      </c>
      <c r="D6" s="18">
        <v>4263000000</v>
      </c>
      <c r="E6" s="18">
        <v>4065000000</v>
      </c>
      <c r="F6" s="8" t="s">
        <v>85</v>
      </c>
    </row>
    <row r="7" spans="1:6" x14ac:dyDescent="0.25">
      <c r="A7" t="s">
        <v>86</v>
      </c>
      <c r="B7" s="18">
        <v>2453000000</v>
      </c>
      <c r="C7" s="18">
        <v>2354000000</v>
      </c>
      <c r="D7" s="18">
        <v>2250000000</v>
      </c>
      <c r="E7" s="18">
        <v>2186000000</v>
      </c>
      <c r="F7" s="8" t="s">
        <v>87</v>
      </c>
    </row>
    <row r="8" spans="1:6" x14ac:dyDescent="0.25">
      <c r="A8" t="s">
        <v>88</v>
      </c>
      <c r="B8" s="18">
        <v>3026000000</v>
      </c>
      <c r="C8" s="18">
        <v>2629000000</v>
      </c>
      <c r="D8" s="18">
        <v>2317000000</v>
      </c>
      <c r="E8" s="18">
        <v>1621000000</v>
      </c>
      <c r="F8" s="8" t="s">
        <v>89</v>
      </c>
    </row>
    <row r="9" spans="1:6" x14ac:dyDescent="0.25">
      <c r="A9" t="s">
        <v>90</v>
      </c>
      <c r="B9" s="18">
        <v>108000000</v>
      </c>
      <c r="C9" s="18">
        <v>69000000</v>
      </c>
      <c r="D9" s="18">
        <v>-1176000000</v>
      </c>
      <c r="E9" s="18">
        <v>261000000</v>
      </c>
      <c r="F9" s="8" t="s">
        <v>91</v>
      </c>
    </row>
    <row r="10" spans="1:6" x14ac:dyDescent="0.25">
      <c r="A10" t="s">
        <v>92</v>
      </c>
      <c r="B10" s="18">
        <v>31782000000</v>
      </c>
      <c r="C10" s="18">
        <v>31669000000</v>
      </c>
      <c r="D10" s="18">
        <v>31895000000</v>
      </c>
      <c r="E10" s="18">
        <v>31568000000</v>
      </c>
      <c r="F10" s="8" t="s">
        <v>93</v>
      </c>
    </row>
    <row r="11" spans="1:6" x14ac:dyDescent="0.25">
      <c r="A11" t="s">
        <v>94</v>
      </c>
      <c r="B11" s="18">
        <v>63000000</v>
      </c>
      <c r="C11" s="18">
        <v>88000000</v>
      </c>
      <c r="D11" s="18">
        <v>83000000</v>
      </c>
      <c r="E11" s="18">
        <v>745000000</v>
      </c>
      <c r="F11" s="8" t="s">
        <v>95</v>
      </c>
    </row>
    <row r="12" spans="1:6" x14ac:dyDescent="0.25">
      <c r="A12" t="s">
        <v>32</v>
      </c>
      <c r="B12" s="34">
        <v>2222977770</v>
      </c>
      <c r="C12" s="34">
        <v>2219977800</v>
      </c>
      <c r="D12" s="34">
        <v>2233977660</v>
      </c>
      <c r="E12" s="34">
        <v>2257977420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2026-09-19T00:07:48Z</dcterms:modified>
</cp:coreProperties>
</file>