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<sst xmlns="http://schemas.openxmlformats.org/spreadsheetml/2006/main" count="119" uniqueCount="106">
  <si>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Kinder Morgan, Inc. (KMI)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</si>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</sst>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0.08508032768495011</v>
      </c>
    </row>
    <row r="7" spans="1:2" x14ac:dyDescent="0.25">
      <c r="A7" t="s">
        <v>4</v>
      </c>
      <c r="B7" s="5">
        <v>0.26474387758543116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0.14032795021666924</v>
      </c>
    </row>
    <row r="10" spans="1:3" x14ac:dyDescent="0.25">
      <c r="A10" t="s">
        <v>7</v>
      </c>
      <c r="B10" s="5">
        <v>0.14707431757974418</v>
      </c>
      <c r="C10" s="6" t="s">
        <v>8</v>
      </c>
    </row>
    <row r="11" spans="1:2" x14ac:dyDescent="0.25">
      <c r="A11" t="s">
        <v>9</v>
      </c>
      <c r="B11" s="5">
        <v>0.0503362632998208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14.932662547582556</v>
      </c>
    </row>
    <row r="14" spans="1:3" x14ac:dyDescent="0.25">
      <c r="A14" t="s">
        <v>12</v>
      </c>
      <c r="B14" s="5">
        <v>0.07202444702822117</v>
      </c>
      <c r="C14" s="6" t="s">
        <v>13</v>
      </c>
    </row>
    <row r="15" spans="1:3" x14ac:dyDescent="0.25">
      <c r="A15" t="s">
        <v>14</v>
      </c>
      <c r="B15" s="5">
        <v>0.14032795021666924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0.72061</v>
      </c>
      <c r="C19" s="6" t="s">
        <v>21</v>
      </c>
    </row>
    <row r="20" spans="1:2" x14ac:dyDescent="0.25">
      <c r="A20" t="s">
        <v>22</v>
      </c>
      <c r="B20" s="9">
        <f>B17+B19*B18</f>
        <v>0.079421803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75452719104</v>
      </c>
    </row>
    <row r="23" spans="1:2" x14ac:dyDescent="0.25">
      <c r="A23" t="s">
        <v>26</v>
      </c>
      <c r="B23" s="10">
        <v>31782000000</v>
      </c>
    </row>
    <row r="24" spans="1:2" x14ac:dyDescent="0.25">
      <c r="A24" t="s">
        <v>27</v>
      </c>
      <c r="B24" s="9">
        <f>B22/(B22+B23)</f>
        <v>0.703622107974408</v>
      </c>
    </row>
    <row r="25" spans="1:2" x14ac:dyDescent="0.25">
      <c r="A25" t="s">
        <v>28</v>
      </c>
      <c r="B25" s="9">
        <f>1-B24</f>
        <v>0.29637789202559195</v>
      </c>
    </row>
    <row r="26" spans="1:2" x14ac:dyDescent="0.25">
      <c r="A26" t="s">
        <v>29</v>
      </c>
      <c r="B26" s="11">
        <f>B24*B20+B25*B21*(1-B8)</f>
        <v>0.07202444702822117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16937000000</v>
      </c>
      <c r="C29" s="6" t="s">
        <v>32</v>
      </c>
    </row>
    <row r="30" spans="1:2" x14ac:dyDescent="0.25">
      <c r="A30" t="s">
        <v>33</v>
      </c>
      <c r="B30" s="10">
        <v>31719000000</v>
      </c>
    </row>
    <row r="31" spans="1:2" x14ac:dyDescent="0.25">
      <c r="A31" t="s">
        <v>34</v>
      </c>
      <c r="B31" s="12">
        <v>2222977770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0.08508032768495011</v>
      </c>
      <c r="C5" s="5">
        <v>0.011729764140222088</v>
      </c>
      <c r="D5" s="5">
        <v>0.013388543622694326</v>
      </c>
      <c r="E5" s="5">
        <v>0.015047323105166566</v>
      </c>
      <c r="F5" s="5">
        <v>0.016706102587638806</v>
      </c>
      <c r="G5" s="5">
        <v>0.018364882070111044</v>
      </c>
      <c r="H5" s="5">
        <v>0.020023661552583283</v>
      </c>
      <c r="I5" s="5">
        <v>0.021682441035055525</v>
      </c>
      <c r="J5" s="5">
        <v>0.023341220517527763</v>
      </c>
      <c r="K5" s="5">
        <v>0.025</v>
      </c>
    </row>
    <row r="6" spans="1:11" x14ac:dyDescent="0.25">
      <c r="A6" t="s">
        <v>50</v>
      </c>
      <c r="B6" s="18">
        <f>Assumptions!B29*(1+B5)</f>
        <v>18378005510</v>
      </c>
      <c r="C6" s="18">
        <f>B6*(1+C5)</f>
        <v>18593575180.000004</v>
      </c>
      <c r="D6" s="18">
        <f>C6*(1+D5)</f>
        <v>18842516072.39928</v>
      </c>
      <c r="E6" s="18">
        <f>D6*(1+E5)</f>
        <v>19126045499.85497</v>
      </c>
      <c r="F6" s="18">
        <f>E6*(1+F5)</f>
        <v>19445567178.071392</v>
      </c>
      <c r="G6" s="18">
        <f>F6*(1+G5)</f>
        <v>19802682726.083096</v>
      </c>
      <c r="H6" s="18">
        <f>G6*(1+H5)</f>
        <v>20199204942.82337</v>
      </c>
      <c r="I6" s="18">
        <f>H6*(1+I5)</f>
        <v>20637173012.95114</v>
      </c>
      <c r="J6" s="18">
        <f>I6*(1+J5)</f>
        <v>21118869819.10481</v>
      </c>
      <c r="K6" s="18">
        <f>J6*(1+K5)</f>
        <v>21646841564.582428</v>
      </c>
    </row>
    <row r="7" spans="1:11" x14ac:dyDescent="0.25">
      <c r="A7" t="s">
        <v>4</v>
      </c>
      <c r="B7" s="9">
        <f>Assumptions!B7</f>
        <v>0.26474387758543116</v>
      </c>
      <c r="C7" s="9">
        <f>Assumptions!B7</f>
        <v>0.26474387758543116</v>
      </c>
      <c r="D7" s="9">
        <f>Assumptions!B7</f>
        <v>0.26474387758543116</v>
      </c>
      <c r="E7" s="9">
        <f>Assumptions!B7</f>
        <v>0.26474387758543116</v>
      </c>
      <c r="F7" s="9">
        <f>Assumptions!B7</f>
        <v>0.26474387758543116</v>
      </c>
      <c r="G7" s="9">
        <f>Assumptions!B7</f>
        <v>0.26474387758543116</v>
      </c>
      <c r="H7" s="9">
        <f>Assumptions!B7</f>
        <v>0.26474387758543116</v>
      </c>
      <c r="I7" s="9">
        <f>Assumptions!B7</f>
        <v>0.26474387758543116</v>
      </c>
      <c r="J7" s="9">
        <f>Assumptions!B7</f>
        <v>0.26474387758543116</v>
      </c>
      <c r="K7" s="9">
        <f>Assumptions!B7</f>
        <v>0.26474387758543116</v>
      </c>
    </row>
    <row r="8" spans="1:11" x14ac:dyDescent="0.25">
      <c r="A8" t="s">
        <v>51</v>
      </c>
      <c r="B8" s="18">
        <f>B6*B7</f>
        <v>4865464441.003819</v>
      </c>
      <c r="C8" s="18">
        <f>C6*C7</f>
        <v>4922535191.3294325</v>
      </c>
      <c r="D8" s="18">
        <f>D6*D7</f>
        <v>4988440768.472795</v>
      </c>
      <c r="E8" s="18">
        <f>E6*E7</f>
        <v>5063503448.50699</v>
      </c>
      <c r="F8" s="18">
        <f>F6*F7</f>
        <v>5148094856.570611</v>
      </c>
      <c r="G8" s="18">
        <f>G6*G7</f>
        <v>5242639011.497275</v>
      </c>
      <c r="H8" s="18">
        <f>H6*H7</f>
        <v>5347615840.705867</v>
      </c>
      <c r="I8" s="18">
        <f>I6*I7</f>
        <v>5463565205.8501005</v>
      </c>
      <c r="J8" s="18">
        <f>J6*J7</f>
        <v>5591091486.131741</v>
      </c>
      <c r="K8" s="18">
        <f>K6*K7</f>
        <v>5730868773.285033</v>
      </c>
    </row>
    <row r="9" spans="1:11" x14ac:dyDescent="0.25">
      <c r="A9" t="s">
        <v>52</v>
      </c>
      <c r="B9" s="18">
        <f>B8*(1-Assumptions!B8)</f>
        <v>3843716908.393018</v>
      </c>
      <c r="C9" s="18">
        <f>C8*(1-Assumptions!B8)</f>
        <v>3888802801.150252</v>
      </c>
      <c r="D9" s="18">
        <f>D8*(1-Assumptions!B8)</f>
        <v>3940868207.093508</v>
      </c>
      <c r="E9" s="18">
        <f>E8*(1-Assumptions!B8)</f>
        <v>4000167724.320523</v>
      </c>
      <c r="F9" s="18">
        <f>F8*(1-Assumptions!B8)</f>
        <v>4066994936.690783</v>
      </c>
      <c r="G9" s="18">
        <f>G8*(1-Assumptions!B8)</f>
        <v>4141684819.0828476</v>
      </c>
      <c r="H9" s="18">
        <f>H8*(1-Assumptions!B8)</f>
        <v>4224616514.1576347</v>
      </c>
      <c r="I9" s="18">
        <f>I8*(1-Assumptions!B8)</f>
        <v>4316216512.621579</v>
      </c>
      <c r="J9" s="18">
        <f>J8*(1-Assumptions!B8)</f>
        <v>4416962274.044075</v>
      </c>
      <c r="K9" s="18">
        <f>K8*(1-Assumptions!B8)</f>
        <v>4527386330.895177</v>
      </c>
    </row>
    <row r="10" spans="1:11" x14ac:dyDescent="0.25">
      <c r="A10" t="s">
        <v>53</v>
      </c>
      <c r="B10" s="18">
        <f>B6*Assumptions!B9</f>
        <v>2578947842.2889533</v>
      </c>
      <c r="C10" s="18">
        <f>C6*Assumptions!B9</f>
        <v>2609198292.2089376</v>
      </c>
      <c r="D10" s="18">
        <f>D6*Assumptions!B9</f>
        <v>2644131657.364436</v>
      </c>
      <c r="E10" s="18">
        <f>E6*Assumptions!B9</f>
        <v>2683918760.745399</v>
      </c>
      <c r="F10" s="18">
        <f>F6*Assumptions!B9</f>
        <v>2728756582.8992996</v>
      </c>
      <c r="G10" s="18">
        <f>G6*Assumptions!B9</f>
        <v>2778869875.742285</v>
      </c>
      <c r="H10" s="18">
        <f>H6*Assumptions!B9</f>
        <v>2834513025.6328173</v>
      </c>
      <c r="I10" s="18">
        <f>I6*Assumptions!B9</f>
        <v>2895972187.1741977</v>
      </c>
      <c r="J10" s="18">
        <f>J6*Assumptions!B9</f>
        <v>2963567712.6076584</v>
      </c>
      <c r="K10" s="18">
        <f>K6*Assumptions!B9</f>
        <v>3037656905.4228497</v>
      </c>
    </row>
    <row r="11" spans="1:11" x14ac:dyDescent="0.25">
      <c r="A11" t="s">
        <v>54</v>
      </c>
      <c r="B11" s="18">
        <f>-B6*B19</f>
        <v>-2702932618.8600283</v>
      </c>
      <c r="C11" s="18">
        <f>-C6*C19</f>
        <v>-2870679752.1700273</v>
      </c>
      <c r="D11" s="18">
        <f>-D6*D19</f>
        <v>-3046977753.6839967</v>
      </c>
      <c r="E11" s="18">
        <f>-E6*E19</f>
        <v>-3232764873.7117486</v>
      </c>
      <c r="F11" s="18">
        <f>-F6*F19</f>
        <v>-3429047859.556282</v>
      </c>
      <c r="G11" s="18">
        <f>-G6*G19</f>
        <v>-3636910886.840535</v>
      </c>
      <c r="H11" s="18">
        <f>-H6*H19</f>
        <v>-3857525334.9188147</v>
      </c>
      <c r="I11" s="18">
        <f>-I6*I19</f>
        <v>-4092160527.681011</v>
      </c>
      <c r="J11" s="18">
        <f>-J6*J19</f>
        <v>-4342195574.986514</v>
      </c>
      <c r="K11" s="18">
        <f>-K6*K19</f>
        <v>-4609132466.047849</v>
      </c>
    </row>
    <row r="12" spans="1:11" x14ac:dyDescent="0.25">
      <c r="A12" t="s">
        <v>55</v>
      </c>
      <c r="B12" s="18">
        <f>-(B6-Assumptions!B29)*Assumptions!B11</f>
        <v>-72534832.76785256</v>
      </c>
      <c r="C12" s="18">
        <f>-(C6-B6)*Assumptions!B11</f>
        <v>-10850971.668575672</v>
      </c>
      <c r="D12" s="18">
        <f>-(D6-C6)*Assumptions!B11</f>
        <v>-12530754.305902353</v>
      </c>
      <c r="E12" s="18">
        <f>-(E6-D6)*Assumptions!B11</f>
        <v>-14271811.913656976</v>
      </c>
      <c r="F12" s="18">
        <f>-(F6-E6)*Assumptions!B11</f>
        <v>-16083527.324702486</v>
      </c>
      <c r="G12" s="18">
        <f>-(G6-F6)*Assumptions!B11</f>
        <v>-17975862.2531769</v>
      </c>
      <c r="H12" s="18">
        <f>-(H6-G6)*Assumptions!B11</f>
        <v>-19959446.70606716</v>
      </c>
      <c r="I12" s="18">
        <f>-(I6-H6)*Assumptions!B11</f>
        <v>-22045676.094865784</v>
      </c>
      <c r="J12" s="18">
        <f>-(J6-I6)*Assumptions!B11</f>
        <v>-24246817.265233744</v>
      </c>
      <c r="K12" s="18">
        <f>-(K6-J6)*Assumptions!B11</f>
        <v>-26576124.79522741</v>
      </c>
    </row>
    <row r="13" spans="1:11" x14ac:dyDescent="0.25">
      <c r="A13" s="19" t="s">
        <v>56</v>
      </c>
      <c r="B13" s="20">
        <f>B9+B10+B11+B12</f>
        <v>3647197299.0540895</v>
      </c>
      <c r="C13" s="20">
        <f>C9+C10+C11+C12</f>
        <v>3616470369.520587</v>
      </c>
      <c r="D13" s="20">
        <f>D9+D10+D11+D12</f>
        <v>3525491356.4680448</v>
      </c>
      <c r="E13" s="20">
        <f>E9+E10+E11+E12</f>
        <v>3437049799.440516</v>
      </c>
      <c r="F13" s="20">
        <f>F9+F10+F11+F12</f>
        <v>3350620132.709098</v>
      </c>
      <c r="G13" s="20">
        <f>G9+G10+G11+G12</f>
        <v>3265667945.7314205</v>
      </c>
      <c r="H13" s="20">
        <f>H9+H10+H11+H12</f>
        <v>3181644758.1655703</v>
      </c>
      <c r="I13" s="20">
        <f>I9+I10+I11+I12</f>
        <v>3097982496.0198994</v>
      </c>
      <c r="J13" s="20">
        <f>J9+J10+J11+J12</f>
        <v>3014087594.399986</v>
      </c>
      <c r="K13" s="20">
        <f>K9+K10+K11+K12</f>
        <v>2929334645.4749503</v>
      </c>
    </row>
    <row r="14" spans="1:11" x14ac:dyDescent="0.25">
      <c r="A14" t="s">
        <v>57</v>
      </c>
      <c r="B14" s="21">
        <f>1/(1+Assumptions!$B$26)^(1-0.5*Assumptions!$B$32)</f>
        <v>0.965823248840279</v>
      </c>
      <c r="C14" s="21">
        <f>1/(1+Assumptions!$B$26)^(2-0.5*Assumptions!$B$32)</f>
        <v>0.9009339773152149</v>
      </c>
      <c r="D14" s="21">
        <f>1/(1+Assumptions!$B$26)^(3-0.5*Assumptions!$B$32)</f>
        <v>0.8404043208274872</v>
      </c>
      <c r="E14" s="21">
        <f>1/(1+Assumptions!$B$26)^(4-0.5*Assumptions!$B$32)</f>
        <v>0.7839413766702686</v>
      </c>
      <c r="F14" s="21">
        <f>1/(1+Assumptions!$B$26)^(5-0.5*Assumptions!$B$32)</f>
        <v>0.7312719209374815</v>
      </c>
      <c r="G14" s="21">
        <f>1/(1+Assumptions!$B$26)^(6-0.5*Assumptions!$B$32)</f>
        <v>0.682141086394675</v>
      </c>
      <c r="H14" s="21">
        <f>1/(1+Assumptions!$B$26)^(7-0.5*Assumptions!$B$32)</f>
        <v>0.6363111291777449</v>
      </c>
      <c r="I14" s="21">
        <f>1/(1+Assumptions!$B$26)^(8-0.5*Assumptions!$B$32)</f>
        <v>0.5935602783515569</v>
      </c>
      <c r="J14" s="21">
        <f>1/(1+Assumptions!$B$26)^(9-0.5*Assumptions!$B$32)</f>
        <v>0.5536816627614942</v>
      </c>
      <c r="K14" s="21">
        <f>1/(1+Assumptions!$B$26)^(10-0.5*Assumptions!$B$32)</f>
        <v>0.5164823099849686</v>
      </c>
    </row>
    <row r="15" spans="1:11" x14ac:dyDescent="0.25">
      <c r="A15" s="19" t="s">
        <v>58</v>
      </c>
      <c r="B15" s="20">
        <f>B13*B14</f>
        <v>3522547944.5339117</v>
      </c>
      <c r="C15" s="20">
        <f>C13*C14</f>
        <v>3258201033.8548074</v>
      </c>
      <c r="D15" s="20">
        <f>D13*D14</f>
        <v>2962838169.0157037</v>
      </c>
      <c r="E15" s="20">
        <f>E13*E14</f>
        <v>2694445551.457669</v>
      </c>
      <c r="F15" s="20">
        <f>F13*F14</f>
        <v>2450214420.7779813</v>
      </c>
      <c r="G15" s="20">
        <f>G13*G14</f>
        <v>2227646280.3054976</v>
      </c>
      <c r="H15" s="20">
        <f>H13*H14</f>
        <v>2024515968.710787</v>
      </c>
      <c r="I15" s="20">
        <f>I13*I14</f>
        <v>1838839352.6658225</v>
      </c>
      <c r="J15" s="20">
        <f>J13*J14</f>
        <v>1668845030.9761763</v>
      </c>
      <c r="K15" s="20">
        <f>K13*K14</f>
        <v>1512949524.4139013</v>
      </c>
    </row>
    <row r="17" spans="1:2" x14ac:dyDescent="0.25">
      <c r="A17" s="22" t="s">
        <v>59</v>
      </c>
      <c r="B17" s="23">
        <f>SUM(B15:K15)</f>
        <v>24161043276.712257</v>
      </c>
    </row>
    <row r="19" spans="1:11" x14ac:dyDescent="0.25">
      <c r="A19" t="s">
        <v>7</v>
      </c>
      <c r="B19" s="9">
        <f>Assumptions!$B$10+($B$20-Assumptions!$B$10)*0/9</f>
        <v>0.14707431757974418</v>
      </c>
      <c r="C19" s="9">
        <f>Assumptions!$B$10+($B$20-Assumptions!$B$10)*1/9</f>
        <v>0.1543909508730653</v>
      </c>
      <c r="D19" s="9">
        <f>Assumptions!$B$10+($B$20-Assumptions!$B$10)*2/9</f>
        <v>0.16170758416638648</v>
      </c>
      <c r="E19" s="9">
        <f>Assumptions!$B$10+($B$20-Assumptions!$B$10)*3/9</f>
        <v>0.1690242174597076</v>
      </c>
      <c r="F19" s="9">
        <f>Assumptions!$B$10+($B$20-Assumptions!$B$10)*4/9</f>
        <v>0.17634085075302877</v>
      </c>
      <c r="G19" s="9">
        <f>Assumptions!$B$10+($B$20-Assumptions!$B$10)*5/9</f>
        <v>0.1836574840463499</v>
      </c>
      <c r="H19" s="9">
        <f>Assumptions!$B$10+($B$20-Assumptions!$B$10)*6/9</f>
        <v>0.19097411733967107</v>
      </c>
      <c r="I19" s="9">
        <f>Assumptions!$B$10+($B$20-Assumptions!$B$10)*7/9</f>
        <v>0.1982907506329922</v>
      </c>
      <c r="J19" s="9">
        <f>Assumptions!$B$10+($B$20-Assumptions!$B$10)*8/9</f>
        <v>0.20560738392631334</v>
      </c>
      <c r="K19" s="9">
        <f>Assumptions!$B$10+($B$20-Assumptions!$B$10)*9/9</f>
        <v>0.2129240172196345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0.2129240172196345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2929334645.4749503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4527386330.895177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0.3471043656913369</v>
      </c>
    </row>
    <row r="7" spans="1:2" x14ac:dyDescent="0.25">
      <c r="A7" t="s">
        <v>66</v>
      </c>
      <c r="B7" s="18">
        <f>-MAX(B5,0)*B6</f>
        <v>-1571475560.6249995</v>
      </c>
    </row>
    <row r="8" spans="1:2" x14ac:dyDescent="0.25">
      <c r="A8" t="s">
        <v>67</v>
      </c>
      <c r="B8" s="18">
        <f>IF(OR(Assumptions!$B$33=0,Assumptions!B12&lt;=0),B5,MAX(B5+B7,0))</f>
        <v>2955910770.2701774</v>
      </c>
    </row>
    <row r="9" spans="1:2" x14ac:dyDescent="0.25">
      <c r="A9" t="s">
        <v>68</v>
      </c>
      <c r="B9" s="18">
        <f>B8*(1+Assumptions!B12)/(Assumptions!B26-Assumptions!B12)</f>
        <v>64430497985.62497</v>
      </c>
    </row>
    <row r="10" spans="1:2" x14ac:dyDescent="0.25">
      <c r="A10" t="s">
        <v>69</v>
      </c>
      <c r="B10" s="18">
        <f>B9/(1+Assumptions!B26)^(10-0.5*Assumptions!B32)</f>
        <v>33277212433.09745</v>
      </c>
    </row>
    <row r="11" spans="1:2" x14ac:dyDescent="0.25">
      <c r="A11" t="s">
        <v>70</v>
      </c>
      <c r="B11" s="18">
        <f>Forecast!B17+B10</f>
        <v>57438255709.80971</v>
      </c>
    </row>
    <row r="12" spans="1:2" x14ac:dyDescent="0.25">
      <c r="A12" t="s">
        <v>71</v>
      </c>
      <c r="B12" s="18">
        <f>-Assumptions!B30</f>
        <v>-31719000000</v>
      </c>
    </row>
    <row r="13" spans="1:2" x14ac:dyDescent="0.25">
      <c r="A13" t="s">
        <v>72</v>
      </c>
      <c r="B13" s="18">
        <f>B11+B12</f>
        <v>25719255709.809708</v>
      </c>
    </row>
    <row r="14" spans="1:2" x14ac:dyDescent="0.25">
      <c r="A14" s="19" t="s">
        <v>73</v>
      </c>
      <c r="B14" s="24">
        <f>B13/Assumptions!B31</f>
        <v>11.56973140123201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8768525678.707882</v>
      </c>
    </row>
    <row r="18" spans="1:2" x14ac:dyDescent="0.25">
      <c r="A18" t="s">
        <v>68</v>
      </c>
      <c r="B18" s="18">
        <f>B17*Assumptions!B13</f>
        <v>130937434999.95709</v>
      </c>
    </row>
    <row r="19" spans="1:2" x14ac:dyDescent="0.25">
      <c r="A19" t="s">
        <v>69</v>
      </c>
      <c r="B19" s="18">
        <f>B18/(1+Assumptions!B26)^(10-0.5*Assumptions!B32)</f>
        <v>67626868892.284515</v>
      </c>
    </row>
    <row r="20" spans="1:2" x14ac:dyDescent="0.25">
      <c r="A20" t="s">
        <v>70</v>
      </c>
      <c r="B20" s="18">
        <f>Forecast!B17+B19</f>
        <v>91787912168.99677</v>
      </c>
    </row>
    <row r="21" spans="1:2" x14ac:dyDescent="0.25">
      <c r="A21" t="s">
        <v>71</v>
      </c>
      <c r="B21" s="18">
        <f>-Assumptions!B30</f>
        <v>-31719000000</v>
      </c>
    </row>
    <row r="22" spans="1:2" x14ac:dyDescent="0.25">
      <c r="A22" t="s">
        <v>72</v>
      </c>
      <c r="B22" s="18">
        <f>B20+B21</f>
        <v>60068912168.996765</v>
      </c>
    </row>
    <row r="23" spans="1:2" x14ac:dyDescent="0.25">
      <c r="A23" s="19" t="s">
        <v>73</v>
      </c>
      <c r="B23" s="25">
        <f>B22/Assumptions!B31</f>
        <v>27.02182315075367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33.87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11.56973140123201</v>
      </c>
    </row>
    <row r="29" spans="1:2" x14ac:dyDescent="0.25">
      <c r="A29" s="19" t="s">
        <v>81</v>
      </c>
      <c r="B29" s="11">
        <f>B28/B26-1</f>
        <v>-0.6584076940882193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0.052024</v>
      </c>
      <c r="B5" s="31">
        <v>23.0881553851939</v>
      </c>
      <c r="C5" s="31">
        <v>22.876252402218626</v>
      </c>
      <c r="D5" s="31">
        <v>22.772970025138516</v>
      </c>
      <c r="E5" s="31">
        <v>22.852287053827716</v>
      </c>
      <c r="F5" s="31">
        <v>23.275093472222995</v>
      </c>
    </row>
    <row r="6" spans="1:6" x14ac:dyDescent="0.25">
      <c r="A6" s="30">
        <v>0.062024</v>
      </c>
      <c r="B6" s="31">
        <v>16.533497889025245</v>
      </c>
      <c r="C6" s="31">
        <v>16.110795889901752</v>
      </c>
      <c r="D6" s="31">
        <v>15.68809389077826</v>
      </c>
      <c r="E6" s="31">
        <v>15.265391891654764</v>
      </c>
      <c r="F6" s="31">
        <v>14.842689892531263</v>
      </c>
    </row>
    <row r="7" spans="1:6" x14ac:dyDescent="0.25">
      <c r="A7" s="30">
        <v>0.072024</v>
      </c>
      <c r="B7" s="31">
        <v>12.258211135384393</v>
      </c>
      <c r="C7" s="31">
        <v>11.914050494205261</v>
      </c>
      <c r="D7" s="32">
        <v>11.569889853026124</v>
      </c>
      <c r="E7" s="31">
        <v>11.22572921184699</v>
      </c>
      <c r="F7" s="31">
        <v>10.881568570667856</v>
      </c>
    </row>
    <row r="8" spans="1:6" x14ac:dyDescent="0.25">
      <c r="A8" s="30">
        <v>0.082024</v>
      </c>
      <c r="B8" s="31">
        <v>9.030913597357983</v>
      </c>
      <c r="C8" s="31">
        <v>8.744942182412798</v>
      </c>
      <c r="D8" s="31">
        <v>8.458970767467598</v>
      </c>
      <c r="E8" s="31">
        <v>8.172999352522405</v>
      </c>
      <c r="F8" s="31">
        <v>7.887027937577211</v>
      </c>
    </row>
    <row r="9" spans="1:6" x14ac:dyDescent="0.25">
      <c r="A9" s="30">
        <v>0.092024</v>
      </c>
      <c r="B9" s="31">
        <v>6.509547473428662</v>
      </c>
      <c r="C9" s="31">
        <v>6.268134154843807</v>
      </c>
      <c r="D9" s="31">
        <v>6.0267208362589475</v>
      </c>
      <c r="E9" s="31">
        <v>5.785307517674096</v>
      </c>
      <c r="F9" s="31">
        <v>5.5438941990892365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16937000000</v>
      </c>
      <c r="C5" s="18">
        <v>15100000000</v>
      </c>
      <c r="D5" s="18">
        <v>15334000000</v>
      </c>
      <c r="E5" s="18">
        <v>19200000000</v>
      </c>
      <c r="F5" s="6" t="s">
        <v>91</v>
      </c>
    </row>
    <row r="6" spans="1:6" x14ac:dyDescent="0.25">
      <c r="A6" t="s">
        <v>51</v>
      </c>
      <c r="B6" s="18">
        <v>4724000000</v>
      </c>
      <c r="C6" s="18">
        <v>4384000000</v>
      </c>
      <c r="D6" s="18">
        <v>4263000000</v>
      </c>
      <c r="E6" s="18">
        <v>4065000000</v>
      </c>
      <c r="F6" s="6" t="s">
        <v>92</v>
      </c>
    </row>
    <row r="7" spans="1:6" x14ac:dyDescent="0.25">
      <c r="A7" t="s">
        <v>93</v>
      </c>
      <c r="B7" s="18">
        <v>2453000000</v>
      </c>
      <c r="C7" s="18">
        <v>2354000000</v>
      </c>
      <c r="D7" s="18">
        <v>2250000000</v>
      </c>
      <c r="E7" s="18">
        <v>2186000000</v>
      </c>
      <c r="F7" s="6" t="s">
        <v>94</v>
      </c>
    </row>
    <row r="8" spans="1:6" x14ac:dyDescent="0.25">
      <c r="A8" t="s">
        <v>95</v>
      </c>
      <c r="B8" s="18">
        <v>3026000000</v>
      </c>
      <c r="C8" s="18">
        <v>2629000000</v>
      </c>
      <c r="D8" s="18">
        <v>2317000000</v>
      </c>
      <c r="E8" s="18">
        <v>1621000000</v>
      </c>
      <c r="F8" s="6" t="s">
        <v>96</v>
      </c>
    </row>
    <row r="9" spans="1:6" x14ac:dyDescent="0.25">
      <c r="A9" t="s">
        <v>97</v>
      </c>
      <c r="B9" s="18">
        <v>108000000</v>
      </c>
      <c r="C9" s="18">
        <v>69000000</v>
      </c>
      <c r="D9" s="18">
        <v>-1176000000</v>
      </c>
      <c r="E9" s="18">
        <v>261000000</v>
      </c>
      <c r="F9" s="6" t="s">
        <v>98</v>
      </c>
    </row>
    <row r="10" spans="1:6" x14ac:dyDescent="0.25">
      <c r="A10" t="s">
        <v>99</v>
      </c>
      <c r="B10" s="18">
        <v>31782000000</v>
      </c>
      <c r="C10" s="18">
        <v>31669000000</v>
      </c>
      <c r="D10" s="18">
        <v>31895000000</v>
      </c>
      <c r="E10" s="18">
        <v>31568000000</v>
      </c>
      <c r="F10" s="6" t="s">
        <v>100</v>
      </c>
    </row>
    <row r="11" spans="1:6" x14ac:dyDescent="0.25">
      <c r="A11" t="s">
        <v>101</v>
      </c>
      <c r="B11" s="18">
        <v>63000000</v>
      </c>
      <c r="C11" s="18">
        <v>88000000</v>
      </c>
      <c r="D11" s="18">
        <v>83000000</v>
      </c>
      <c r="E11" s="18">
        <v>745000000</v>
      </c>
      <c r="F11" s="6" t="s">
        <v>102</v>
      </c>
    </row>
    <row r="12" spans="1:6" x14ac:dyDescent="0.25">
      <c r="A12" t="s">
        <v>34</v>
      </c>
      <c r="B12" s="34">
        <v>2222977770</v>
      </c>
      <c r="C12" s="34">
        <v>2219977800</v>
      </c>
      <c r="D12" s="34">
        <v>2233977660</v>
      </c>
      <c r="E12" s="34">
        <v>2257977420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