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<sst xmlns="http://schemas.openxmlformats.org/spreadsheetml/2006/main" count="117" uniqueCount="102">
  <si>
    <t>Kuehne + Nagel International AG (KNIN.SW)</t>
  </si>
  <si>
    <t>DCF Studio - Base case</t>
  </si>
  <si>
    <t>Blue figures on a cream fill are inputs. Every other figure is a formula - change an input and the model reprices. Currency figures are CHF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</si>
  <si>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</si>
  <si>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</si>
  <si>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</si>
  <si>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</si>
  <si>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</si>
  <si>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</si>
  <si>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</si>
  <si>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</si>
  <si>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</si>
  <si>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</si>
  <si>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</si>
  <si>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</si>
  <si>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</si>
  <si>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CHF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</si>
  <si>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</si>
  <si>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</si>
  <si>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</si>
  <si>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</si>
  <si>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</si>
  <si>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</si>
  <si>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(CHF m)</t>
  </si>
  <si>
    <t>Total debt (CHF m)</t>
  </si>
  <si>
    <t>Equity weight</t>
  </si>
  <si>
    <t>Debt weight</t>
  </si>
  <si>
    <t>WACC</t>
  </si>
  <si>
    <t>Base year</t>
  </si>
  <si>
    <t>Revenue, last reported year (CHF m)</t>
  </si>
  <si>
    <t>Fiscal year ended 2025-12-31</t>
  </si>
  <si>
    <t>Net debt (CHF m)</t>
  </si>
  <si>
    <t>Diluted shares</t>
  </si>
  <si>
    <t>Mid-year discounting (1 = yes, 0 = no)</t>
  </si>
  <si>
    <t>Terminal year on a steady-state footing (1 = yes, 0 = no)</t>
  </si>
  <si>
    <t>Forecast cashflows (CHF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</si>
  <si>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</si>
  <si>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</si>
  <si>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</si>
  <si>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</si>
  <si>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</si>
  <si>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</si>
  <si>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</si>
  <si>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</si>
  <si>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</si>
  <si>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</si>
  <si>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</si>
  <si>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</si>
  <si>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</si>
  <si>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</si>
  <si>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</si>
  <si>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</si>
  <si>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</si>
  <si>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(CHF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</si>
  <si>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</si>
  <si>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</si>
  <si>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</si>
  <si>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</si>
  <si>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</si>
  <si>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</si>
  <si>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</si>
  <si>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</si>
  <si>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</si>
  <si>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</si>
  <si>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</si>
  <si>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</si>
  <si>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</si>
  <si>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</si>
  <si>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</si>
  <si>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(CHF)</t>
  </si>
  <si>
    <t>Conversion, CHF to CHF</t>
  </si>
  <si>
    <t>Same currency, no conversion</t>
  </si>
  <si>
    <t>Value per share (CHF)</t>
  </si>
  <si>
    <t>Implied upside</t>
  </si>
  <si>
    <t>Value per share (CHF)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</si>
  <si>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</si>
  <si>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n/a</t>
  </si>
  <si>
    <t>Reported history and provenance (CHF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</si>
  <si>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</si>
  <si>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</si>
  <si>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</si>
  <si>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</si>
  <si>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</si>
  <si>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</si>
  <si>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</si>
  <si>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</si>
  <si>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</si>
  <si>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</si>
  <si>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</si>
  <si>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</si>
  <si>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</si>
  <si>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</si>
  <si>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</si>
  <si>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</si>
  <si>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</si>
  <si>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</si>
  <si>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</si>
  <si>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</si>
  <si>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</si>
  <si>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Reported capital expenditure averages 1.03% of revenue against depreciation of 2.85%. A business cannot depreciate more than it invests indefinitely. Capex has been set to 2.85% of revenue so the forecast is not handed free growth. Override it if the reported figure is right.</t>
  </si>
  <si>
    <t>Note: Risk-free rate is an assumption: CHF assumption - no free live source available for this market.</t>
  </si>
  <si>
    <t>Data: Yahoo Finance. Risk-free rate: CHF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</si>
</sst>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-0.1467255211600531</v>
      </c>
    </row>
    <row r="7" spans="1:2" x14ac:dyDescent="0.25">
      <c r="A7" t="s">
        <v>5</v>
      </c>
      <c r="B7" s="6">
        <v>0.07276564572512066</v>
      </c>
    </row>
    <row r="8" spans="1:2" x14ac:dyDescent="0.25">
      <c r="A8" t="s">
        <v>6</v>
      </c>
      <c r="B8" s="6">
        <v>0.15</v>
      </c>
    </row>
    <row r="9" spans="1:2" x14ac:dyDescent="0.25">
      <c r="A9" t="s">
        <v>7</v>
      </c>
      <c r="B9" s="6">
        <v>0.030594106801457084</v>
      </c>
    </row>
    <row r="10" spans="1:2" x14ac:dyDescent="0.25">
      <c r="A10" t="s">
        <v>8</v>
      </c>
      <c r="B10" s="6">
        <v>0.0285131021812556</v>
      </c>
    </row>
    <row r="11" spans="1:2" x14ac:dyDescent="0.25">
      <c r="A11" t="s">
        <v>9</v>
      </c>
      <c r="B11" s="6">
        <v>0.024539877300613498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13.431289767008387</v>
      </c>
    </row>
    <row r="14" spans="1:3" x14ac:dyDescent="0.25">
      <c r="A14" t="s">
        <v>12</v>
      </c>
      <c r="B14" s="6">
        <v>0.44084703327716357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0.005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0.7614799999999999</v>
      </c>
      <c r="C19" s="8" t="s">
        <v>19</v>
      </c>
    </row>
    <row r="20" spans="1:2" x14ac:dyDescent="0.25">
      <c r="A20" t="s">
        <v>20</v>
      </c>
      <c r="B20" s="10">
        <f>B17+B19*B18</f>
        <v>0.0468814</v>
      </c>
    </row>
    <row r="21" spans="1:3" x14ac:dyDescent="0.25">
      <c r="A21" t="s">
        <v>21</v>
      </c>
      <c r="B21" s="6">
        <v>0.015865460891638903</v>
      </c>
      <c r="C21" s="8" t="s">
        <v>22</v>
      </c>
    </row>
    <row r="22" spans="1:2" x14ac:dyDescent="0.25">
      <c r="A22" t="s">
        <v>23</v>
      </c>
      <c r="B22" s="11">
        <v>25616547840</v>
      </c>
    </row>
    <row r="23" spans="1:2" x14ac:dyDescent="0.25">
      <c r="A23" t="s">
        <v>24</v>
      </c>
      <c r="B23" s="11">
        <v>3957000000</v>
      </c>
    </row>
    <row r="24" spans="1:2" x14ac:dyDescent="0.25">
      <c r="A24" t="s">
        <v>25</v>
      </c>
      <c r="B24" s="10">
        <f>B22/(B22+B23)</f>
        <v>0.8661979948632366</v>
      </c>
    </row>
    <row r="25" spans="1:2" x14ac:dyDescent="0.25">
      <c r="A25" t="s">
        <v>26</v>
      </c>
      <c r="B25" s="10">
        <f>1-B24</f>
        <v>0.13380200513676344</v>
      </c>
    </row>
    <row r="26" spans="1:2" x14ac:dyDescent="0.25">
      <c r="A26" t="s">
        <v>27</v>
      </c>
      <c r="B26" s="12">
        <f>B24*B20+B25*B21*(1-B8)</f>
        <v>0.04241298058414349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24476000000</v>
      </c>
      <c r="C29" s="8" t="s">
        <v>30</v>
      </c>
    </row>
    <row r="30" spans="1:2" x14ac:dyDescent="0.25">
      <c r="A30" t="s">
        <v>31</v>
      </c>
      <c r="B30" s="11">
        <v>3207000000</v>
      </c>
    </row>
    <row r="31" spans="1:2" x14ac:dyDescent="0.25">
      <c r="A31" t="s">
        <v>32</v>
      </c>
      <c r="B31" s="13">
        <v>118946353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-0.1467255211600531</v>
      </c>
      <c r="C5" s="10">
        <f>Assumptions!B6</f>
        <v>-0.1467255211600531</v>
      </c>
      <c r="D5" s="10">
        <f>Assumptions!B6</f>
        <v>-0.1467255211600531</v>
      </c>
      <c r="E5" s="10">
        <f>Assumptions!B6</f>
        <v>-0.1467255211600531</v>
      </c>
      <c r="F5" s="10">
        <f>Assumptions!B6</f>
        <v>-0.1467255211600531</v>
      </c>
    </row>
    <row r="6" spans="1:6" x14ac:dyDescent="0.25">
      <c r="A6" t="s">
        <v>43</v>
      </c>
      <c r="B6" s="18">
        <f>Assumptions!B29*(1+B5)</f>
        <v>20884746144.08654</v>
      </c>
      <c r="C6" s="18">
        <f>B6*(1+C5)</f>
        <v>17820420881.800034</v>
      </c>
      <c r="D6" s="18">
        <f>C6*(1+D5)</f>
        <v>15205710340.62643</v>
      </c>
      <c r="E6" s="18">
        <f>D6*(1+E5)</f>
        <v>12974644566.28921</v>
      </c>
      <c r="F6" s="18">
        <f>E6*(1+F5)</f>
        <v>11070933080.433973</v>
      </c>
    </row>
    <row r="7" spans="1:6" x14ac:dyDescent="0.25">
      <c r="A7" t="s">
        <v>5</v>
      </c>
      <c r="B7" s="10">
        <f>Assumptions!B7</f>
        <v>0.07276564572512066</v>
      </c>
      <c r="C7" s="10">
        <f>Assumptions!B7</f>
        <v>0.07276564572512066</v>
      </c>
      <c r="D7" s="10">
        <f>Assumptions!B7</f>
        <v>0.07276564572512066</v>
      </c>
      <c r="E7" s="10">
        <f>Assumptions!B7</f>
        <v>0.07276564572512066</v>
      </c>
      <c r="F7" s="10">
        <f>Assumptions!B7</f>
        <v>0.07276564572512066</v>
      </c>
    </row>
    <row r="8" spans="1:6" x14ac:dyDescent="0.25">
      <c r="A8" t="s">
        <v>44</v>
      </c>
      <c r="B8" s="18">
        <f>B6*B7</f>
        <v>1519692038.979681</v>
      </c>
      <c r="C8" s="18">
        <f>C6*C7</f>
        <v>1296714432.5576036</v>
      </c>
      <c r="D8" s="18">
        <f>D6*D7</f>
        <v>1106453331.6448267</v>
      </c>
      <c r="E8" s="18">
        <f>E6*E7</f>
        <v>944108389.9199624</v>
      </c>
      <c r="F8" s="18">
        <f>F6*F7</f>
        <v>805583594.3773773</v>
      </c>
    </row>
    <row r="9" spans="1:6" x14ac:dyDescent="0.25">
      <c r="A9" t="s">
        <v>45</v>
      </c>
      <c r="B9" s="18">
        <f>B8*(1-Assumptions!B8)</f>
        <v>1291738233.1327288</v>
      </c>
      <c r="C9" s="18">
        <f>C8*(1-Assumptions!B8)</f>
        <v>1102207267.673963</v>
      </c>
      <c r="D9" s="18">
        <f>D8*(1-Assumptions!B8)</f>
        <v>940485331.8981026</v>
      </c>
      <c r="E9" s="18">
        <f>E8*(1-Assumptions!B8)</f>
        <v>802492131.431968</v>
      </c>
      <c r="F9" s="18">
        <f>F8*(1-Assumptions!B8)</f>
        <v>684746055.2207707</v>
      </c>
    </row>
    <row r="10" spans="1:6" x14ac:dyDescent="0.25">
      <c r="A10" t="s">
        <v>46</v>
      </c>
      <c r="B10" s="18">
        <f>B6*Assumptions!B9</f>
        <v>638950154.0535027</v>
      </c>
      <c r="C10" s="18">
        <f>C6*Assumptions!B9</f>
        <v>545199859.7047063</v>
      </c>
      <c r="D10" s="18">
        <f>D6*Assumptions!B9</f>
        <v>465205126.1531454</v>
      </c>
      <c r="E10" s="18">
        <f>E6*Assumptions!B9</f>
        <v>396947661.5719969</v>
      </c>
      <c r="F10" s="18">
        <f>F6*Assumptions!B9</f>
        <v>338705309.0545812</v>
      </c>
    </row>
    <row r="11" spans="1:6" x14ac:dyDescent="0.25">
      <c r="A11" t="s">
        <v>47</v>
      </c>
      <c r="B11" s="18">
        <f>-B6*Assumptions!B10</f>
        <v>-595488900.8359234</v>
      </c>
      <c r="C11" s="18">
        <f>-C6*Assumptions!B10</f>
        <v>-508115481.51574534</v>
      </c>
      <c r="D11" s="18">
        <f>-D6*Assumptions!B10</f>
        <v>-433561972.6808563</v>
      </c>
      <c r="E11" s="18">
        <f>-E6*Assumptions!B10</f>
        <v>-369947366.284077</v>
      </c>
      <c r="F11" s="18">
        <f>-F6*Assumptions!B10</f>
        <v>-315666646.1642567</v>
      </c>
    </row>
    <row r="12" spans="1:6" x14ac:dyDescent="0.25">
      <c r="A12" t="s">
        <v>48</v>
      </c>
      <c r="B12" s="18">
        <f>-(B6-Assumptions!B29)*Assumptions!B11</f>
        <v>88128928.9794714</v>
      </c>
      <c r="C12" s="18">
        <f>-(C6-B6)*Assumptions!B11</f>
        <v>75198165.94568114</v>
      </c>
      <c r="D12" s="18">
        <f>-(D6-C6)*Assumptions!B11</f>
        <v>64164675.85702094</v>
      </c>
      <c r="E12" s="18">
        <f>-(E6-D6)*Assumptions!B11</f>
        <v>54750080.35183365</v>
      </c>
      <c r="F12" s="18">
        <f>-(F6-E6)*Assumptions!B11</f>
        <v>46716846.2786561</v>
      </c>
    </row>
    <row r="13" spans="1:6" x14ac:dyDescent="0.25">
      <c r="A13" s="19" t="s">
        <v>49</v>
      </c>
      <c r="B13" s="20">
        <f>B9+B10+B11+B12</f>
        <v>1423328415.3297796</v>
      </c>
      <c r="C13" s="20">
        <f>C9+C10+C11+C12</f>
        <v>1214489811.808605</v>
      </c>
      <c r="D13" s="20">
        <f>D9+D10+D11+D12</f>
        <v>1036293161.2274128</v>
      </c>
      <c r="E13" s="20">
        <f>E9+E10+E11+E12</f>
        <v>884242507.0717217</v>
      </c>
      <c r="F13" s="20">
        <f>F9+F10+F11+F12</f>
        <v>754501564.3897514</v>
      </c>
    </row>
    <row r="14" spans="1:6" x14ac:dyDescent="0.25">
      <c r="A14" t="s">
        <v>50</v>
      </c>
      <c r="B14" s="21">
        <f>1/(1+Assumptions!$B$26)^(1-0.5*Assumptions!$B$32)</f>
        <v>0.9794450926545354</v>
      </c>
      <c r="C14" s="21">
        <f>1/(1+Assumptions!$B$26)^(2-0.5*Assumptions!$B$32)</f>
        <v>0.9395941060765355</v>
      </c>
      <c r="D14" s="21">
        <f>1/(1+Assumptions!$B$26)^(3-0.5*Assumptions!$B$32)</f>
        <v>0.9013645489621679</v>
      </c>
      <c r="E14" s="21">
        <f>1/(1+Assumptions!$B$26)^(4-0.5*Assumptions!$B$32)</f>
        <v>0.8646904497074323</v>
      </c>
      <c r="F14" s="21">
        <f>1/(1+Assumptions!$B$26)^(5-0.5*Assumptions!$B$32)</f>
        <v>0.8295085209154631</v>
      </c>
    </row>
    <row r="15" spans="1:6" x14ac:dyDescent="0.25">
      <c r="A15" s="19" t="s">
        <v>51</v>
      </c>
      <c r="B15" s="20">
        <f>B13*B14</f>
        <v>1394072031.6305091</v>
      </c>
      <c r="C15" s="20">
        <f>C13*C14</f>
        <v>1141127469.065366</v>
      </c>
      <c r="D15" s="20">
        <f>D13*D14</f>
        <v>934077917.862326</v>
      </c>
      <c r="E15" s="20">
        <f>E13*E14</f>
        <v>764596051.0902743</v>
      </c>
      <c r="F15" s="20">
        <f>F13*F14</f>
        <v>625865476.7053457</v>
      </c>
    </row>
    <row r="17" spans="1:2" x14ac:dyDescent="0.25">
      <c r="A17" s="22" t="s">
        <v>52</v>
      </c>
      <c r="B17" s="23">
        <f>SUM(B15:F15)</f>
        <v>4859738946.353822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754501564.3897514</v>
      </c>
    </row>
    <row r="5" spans="1:2" x14ac:dyDescent="0.25">
      <c r="A5" t="s">
        <v>56</v>
      </c>
      <c r="B5" s="18">
        <f>IF(Assumptions!$B$33=0,B4,B4-Forecast!F11-Forecast!F10-Forecast!F12)</f>
        <v>704328918.6775466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0.05670901267987513</v>
      </c>
    </row>
    <row r="7" spans="1:2" x14ac:dyDescent="0.25">
      <c r="A7" t="s">
        <v>58</v>
      </c>
      <c r="B7" s="18">
        <f>-MAX(Forecast!F9,0)*B6</f>
        <v>-39941797.58008773</v>
      </c>
    </row>
    <row r="8" spans="1:2" x14ac:dyDescent="0.25">
      <c r="A8" t="s">
        <v>59</v>
      </c>
      <c r="B8" s="18">
        <f>IF(OR(Assumptions!$B$33=0,Assumptions!B12&lt;=0),B5,MAX(B5+B7,0))</f>
        <v>664387121.0974588</v>
      </c>
    </row>
    <row r="9" spans="1:2" x14ac:dyDescent="0.25">
      <c r="A9" t="s">
        <v>60</v>
      </c>
      <c r="B9" s="18">
        <f>B8*(1+Assumptions!B12)/(Assumptions!B26-Assumptions!B12)</f>
        <v>39108571667.79481</v>
      </c>
    </row>
    <row r="10" spans="1:2" x14ac:dyDescent="0.25">
      <c r="A10" t="s">
        <v>61</v>
      </c>
      <c r="B10" s="18">
        <f>B9/(1+Assumptions!B26)^(5-0.5*Assumptions!B32)</f>
        <v>32440893439.268856</v>
      </c>
    </row>
    <row r="11" spans="1:2" x14ac:dyDescent="0.25">
      <c r="A11" t="s">
        <v>62</v>
      </c>
      <c r="B11" s="18">
        <f>Forecast!B17+B10</f>
        <v>37300632385.62268</v>
      </c>
    </row>
    <row r="12" spans="1:2" x14ac:dyDescent="0.25">
      <c r="A12" t="s">
        <v>63</v>
      </c>
      <c r="B12" s="18">
        <f>-Assumptions!B30</f>
        <v>-3207000000</v>
      </c>
    </row>
    <row r="13" spans="1:2" x14ac:dyDescent="0.25">
      <c r="A13" t="s">
        <v>64</v>
      </c>
      <c r="B13" s="18">
        <f>B11+B12</f>
        <v>34093632385.62268</v>
      </c>
    </row>
    <row r="14" spans="1:2" x14ac:dyDescent="0.25">
      <c r="A14" s="19" t="s">
        <v>65</v>
      </c>
      <c r="B14" s="24">
        <f>B13/Assumptions!B31</f>
        <v>286.6303297724705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1144288903.4319584</v>
      </c>
    </row>
    <row r="18" spans="1:2" x14ac:dyDescent="0.25">
      <c r="A18" t="s">
        <v>60</v>
      </c>
      <c r="B18" s="18">
        <f>B17*Assumptions!B13</f>
        <v>15369275839.166912</v>
      </c>
    </row>
    <row r="19" spans="1:2" x14ac:dyDescent="0.25">
      <c r="A19" t="s">
        <v>61</v>
      </c>
      <c r="B19" s="18">
        <f>B18/(1+Assumptions!B26)^(5-0.5*Assumptions!B32)</f>
        <v>12748945268.889109</v>
      </c>
    </row>
    <row r="20" spans="1:2" x14ac:dyDescent="0.25">
      <c r="A20" t="s">
        <v>62</v>
      </c>
      <c r="B20" s="18">
        <f>Forecast!B17+B19</f>
        <v>17608684215.24293</v>
      </c>
    </row>
    <row r="21" spans="1:2" x14ac:dyDescent="0.25">
      <c r="A21" t="s">
        <v>63</v>
      </c>
      <c r="B21" s="18">
        <f>-Assumptions!B30</f>
        <v>-3207000000</v>
      </c>
    </row>
    <row r="22" spans="1:2" x14ac:dyDescent="0.25">
      <c r="A22" t="s">
        <v>64</v>
      </c>
      <c r="B22" s="18">
        <f>B20+B21</f>
        <v>14401684215.242931</v>
      </c>
    </row>
    <row r="23" spans="1:2" x14ac:dyDescent="0.25">
      <c r="A23" s="19" t="s">
        <v>65</v>
      </c>
      <c r="B23" s="25">
        <f>B22/Assumptions!B31</f>
        <v>121.07713983667016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215.7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286.6303297724705</v>
      </c>
    </row>
    <row r="29" spans="1:2" x14ac:dyDescent="0.25">
      <c r="A29" s="19" t="s">
        <v>73</v>
      </c>
      <c r="B29" s="12">
        <f>B28/B26-1</f>
        <v>0.3288378756257324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0.022413</v>
      </c>
      <c r="B5" s="31">
        <v>724.4440307535625</v>
      </c>
      <c r="C5" s="31">
        <v>2178.255323196048</v>
      </c>
      <c r="D5" s="31" t="s">
        <v>76</v>
      </c>
      <c r="E5" s="31" t="s">
        <v>76</v>
      </c>
      <c r="F5" s="31" t="s">
        <v>76</v>
      </c>
    </row>
    <row r="6" spans="1:6" x14ac:dyDescent="0.25">
      <c r="A6" s="30">
        <v>0.032413</v>
      </c>
      <c r="B6" s="31">
        <v>303.56631418115876</v>
      </c>
      <c r="C6" s="31">
        <v>417.1231999486393</v>
      </c>
      <c r="D6" s="31">
        <v>683.7877436375852</v>
      </c>
      <c r="E6" s="31">
        <v>2055.327400209448</v>
      </c>
      <c r="F6" s="31" t="s">
        <v>76</v>
      </c>
    </row>
    <row r="7" spans="1:6" x14ac:dyDescent="0.25">
      <c r="A7" s="30">
        <v>0.042413</v>
      </c>
      <c r="B7" s="31">
        <v>189.574040842302</v>
      </c>
      <c r="C7" s="31">
        <v>227.28859333968552</v>
      </c>
      <c r="D7" s="32">
        <v>286.63000120410334</v>
      </c>
      <c r="E7" s="31">
        <v>393.73238435060546</v>
      </c>
      <c r="F7" s="31">
        <v>645.23875225326</v>
      </c>
    </row>
    <row r="8" spans="1:6" x14ac:dyDescent="0.25">
      <c r="A8" s="30">
        <v>0.052413</v>
      </c>
      <c r="B8" s="31">
        <v>136.39411086253978</v>
      </c>
      <c r="C8" s="31">
        <v>154.4374402595613</v>
      </c>
      <c r="D8" s="31">
        <v>179.0433359272075</v>
      </c>
      <c r="E8" s="31">
        <v>214.60382454907148</v>
      </c>
      <c r="F8" s="31">
        <v>270.55547043419045</v>
      </c>
    </row>
    <row r="9" spans="1:6" x14ac:dyDescent="0.25">
      <c r="A9" s="30">
        <v>0.062413</v>
      </c>
      <c r="B9" s="31">
        <v>105.55282439579901</v>
      </c>
      <c r="C9" s="31">
        <v>115.82920511089706</v>
      </c>
      <c r="D9" s="31">
        <v>128.8386566050928</v>
      </c>
      <c r="E9" s="31">
        <v>145.84598194155421</v>
      </c>
      <c r="F9" s="31">
        <v>169.03876028469182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77</v>
      </c>
    </row>
    <row r="2" spans="1:1" x14ac:dyDescent="0.25">
      <c r="A2" s="3" t="s">
        <v>78</v>
      </c>
    </row>
    <row r="4" spans="1:6" x14ac:dyDescent="0.25">
      <c r="A4" s="16" t="s">
        <v>79</v>
      </c>
      <c r="B4" s="17" t="s">
        <v>80</v>
      </c>
      <c r="C4" s="17" t="s">
        <v>81</v>
      </c>
      <c r="D4" s="17" t="s">
        <v>82</v>
      </c>
      <c r="E4" s="17" t="s">
        <v>83</v>
      </c>
      <c r="F4" s="33" t="s">
        <v>84</v>
      </c>
    </row>
    <row r="5" spans="1:6" x14ac:dyDescent="0.25">
      <c r="A5" t="s">
        <v>43</v>
      </c>
      <c r="B5" s="18">
        <v>24476000000</v>
      </c>
      <c r="C5" s="18">
        <v>24802000000</v>
      </c>
      <c r="D5" s="18">
        <v>23849000000</v>
      </c>
      <c r="E5" s="18">
        <v>39398000000</v>
      </c>
      <c r="F5" s="8" t="s">
        <v>85</v>
      </c>
    </row>
    <row r="6" spans="1:6" x14ac:dyDescent="0.25">
      <c r="A6" t="s">
        <v>44</v>
      </c>
      <c r="B6" s="18">
        <v>1237000000</v>
      </c>
      <c r="C6" s="18">
        <v>1652000000</v>
      </c>
      <c r="D6" s="18">
        <v>1888000000</v>
      </c>
      <c r="E6" s="18">
        <v>3733000000</v>
      </c>
      <c r="F6" s="8" t="s">
        <v>86</v>
      </c>
    </row>
    <row r="7" spans="1:6" x14ac:dyDescent="0.25">
      <c r="A7" t="s">
        <v>87</v>
      </c>
      <c r="B7" s="18">
        <v>909000000</v>
      </c>
      <c r="C7" s="18">
        <v>824000000</v>
      </c>
      <c r="D7" s="18">
        <v>775000000</v>
      </c>
      <c r="E7" s="18">
        <v>769000000</v>
      </c>
      <c r="F7" s="8" t="s">
        <v>88</v>
      </c>
    </row>
    <row r="8" spans="1:6" x14ac:dyDescent="0.25">
      <c r="A8" t="s">
        <v>89</v>
      </c>
      <c r="B8" s="18">
        <v>239000000</v>
      </c>
      <c r="C8" s="18">
        <v>304000000</v>
      </c>
      <c r="D8" s="18">
        <v>310000000</v>
      </c>
      <c r="E8" s="18">
        <v>247000000</v>
      </c>
      <c r="F8" s="8" t="s">
        <v>90</v>
      </c>
    </row>
    <row r="9" spans="1:6" x14ac:dyDescent="0.25">
      <c r="A9" t="s">
        <v>91</v>
      </c>
      <c r="B9" s="18">
        <v>-8000000</v>
      </c>
      <c r="C9" s="18">
        <v>644000000</v>
      </c>
      <c r="D9" s="18">
        <v>192000000</v>
      </c>
      <c r="E9" s="18">
        <v>-892000000</v>
      </c>
      <c r="F9" s="8" t="s">
        <v>92</v>
      </c>
    </row>
    <row r="10" spans="1:6" x14ac:dyDescent="0.25">
      <c r="A10" t="s">
        <v>93</v>
      </c>
      <c r="B10" s="18">
        <v>3957000000</v>
      </c>
      <c r="C10" s="18">
        <v>2346000000</v>
      </c>
      <c r="D10" s="18">
        <v>1818000000</v>
      </c>
      <c r="E10" s="18">
        <v>1700000000</v>
      </c>
      <c r="F10" s="8" t="s">
        <v>94</v>
      </c>
    </row>
    <row r="11" spans="1:6" x14ac:dyDescent="0.25">
      <c r="A11" t="s">
        <v>95</v>
      </c>
      <c r="B11" s="18">
        <v>750000000</v>
      </c>
      <c r="C11" s="18">
        <v>1152000000</v>
      </c>
      <c r="D11" s="18">
        <v>2011000000</v>
      </c>
      <c r="E11" s="18">
        <v>3778000000</v>
      </c>
      <c r="F11" s="8" t="s">
        <v>96</v>
      </c>
    </row>
    <row r="12" spans="1:6" x14ac:dyDescent="0.25">
      <c r="A12" t="s">
        <v>32</v>
      </c>
      <c r="B12" s="34">
        <v>118946353</v>
      </c>
      <c r="C12" s="34">
        <v>118748575</v>
      </c>
      <c r="D12" s="34">
        <v>119038023</v>
      </c>
      <c r="E12" s="34">
        <v>120030718</v>
      </c>
      <c r="F12" s="8" t="s">
        <v>97</v>
      </c>
    </row>
    <row r="15" spans="1:1" x14ac:dyDescent="0.25">
      <c r="A15" s="19" t="s">
        <v>98</v>
      </c>
    </row>
    <row r="16" ht="54" customHeight="1" spans="1:6" x14ac:dyDescent="0.25">
      <c r="A16" s="35" t="s">
        <v>99</v>
      </c>
      <c r="B16" s="35"/>
      <c r="C16" s="35"/>
      <c r="D16" s="35"/>
      <c r="E16" s="35"/>
      <c r="F16" s="35"/>
    </row>
    <row r="17" ht="22" customHeight="1" spans="1:6" x14ac:dyDescent="0.25">
      <c r="A17" s="35" t="s">
        <v>100</v>
      </c>
      <c r="B17" s="35"/>
      <c r="C17" s="35"/>
      <c r="D17" s="35"/>
      <c r="E17" s="35"/>
      <c r="F17" s="35"/>
    </row>
    <row r="19" spans="1:1" x14ac:dyDescent="0.25">
      <c r="A19" s="36" t="s">
        <v>101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2026-09-19T00:06:59Z</dcterms:modified>
</cp:coreProperties>
</file>