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<sst xmlns="http://schemas.openxmlformats.org/spreadsheetml/2006/main" count="121" uniqueCount="108">
  <si>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The Coca-Cola Company (KO)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</si>
  <si>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</si>
  <si>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</si>
  <si>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</si>
  <si>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</si>
  <si>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</si>
  <si>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</si>
  <si>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</si>
  <si>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</si>
  <si>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</si>
  <si>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</si>
  <si>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</si>
  <si>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</si>
  <si>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</si>
  <si>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</si>
  <si>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</si>
  <si>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</si>
  <si>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</si>
  <si>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</si>
  <si>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</si>
  <si>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</si>
  <si>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</si>
  <si>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</si>
  <si>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</si>
  <si>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9.0x interest cover. Book interest / average debt was lower, at 3.7%.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</si>
  <si>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</si>
  <si>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</si>
  <si>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</si>
  <si>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</si>
  <si>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</si>
  <si>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</si>
  <si>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</si>
  <si>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</si>
  <si>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</si>
  <si>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</si>
  <si>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</si>
  <si>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</si>
  <si>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</si>
  <si>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</si>
  <si>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</si>
  <si>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</si>
  <si>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</si>
  <si>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</si>
  <si>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</si>
  <si>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</si>
  <si>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</si>
  <si>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</si>
  <si>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</si>
  <si>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</si>
  <si>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</si>
  <si>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</si>
  <si>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</si>
  <si>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</si>
  <si>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</si>
  <si>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</si>
  <si>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</si>
  <si>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</si>
  <si>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</si>
  <si>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</si>
  <si>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</si>
  <si>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</si>
  <si>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</si>
  <si>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</si>
  <si>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</si>
  <si>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</si>
  <si>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</si>
  <si>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</si>
  <si>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</si>
  <si>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</si>
  <si>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</si>
  <si>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</si>
  <si>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</si>
  <si>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</si>
  <si>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</si>
  <si>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</si>
  <si>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</si>
  <si>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</si>
  <si>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</si>
  <si>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</si>
  <si>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</si>
  <si>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</si>
  <si>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</si>
  <si>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</si>
  <si>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</si>
  <si>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</si>
  <si>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</si>
  <si>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</si>
  <si>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</si>
  <si>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</si>
  <si>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</si>
  <si>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</si>
  <si>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</si>
  <si>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</si>
  <si>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</si>
  <si>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</si>
  <si>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</si>
  <si>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</si>
  <si>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</si>
  <si>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</si>
  <si>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</si>
  <si>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</si>
  <si>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</si>
  <si>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</si>
  <si>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</si>
  <si>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</si>
  <si>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4.1% of revenue against depreciation of 2.5%.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</si>
  <si>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27.2x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</si>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</sst>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0.05301964894349309</v>
      </c>
    </row>
    <row r="7" spans="1:2" x14ac:dyDescent="0.25">
      <c r="A7" t="s">
        <v>4</v>
      </c>
      <c r="B7" s="5">
        <v>0.2938180936246566</v>
      </c>
    </row>
    <row r="8" spans="1:2" x14ac:dyDescent="0.25">
      <c r="A8" t="s">
        <v>5</v>
      </c>
      <c r="B8" s="5">
        <v>0.1799103246625664</v>
      </c>
    </row>
    <row r="9" spans="1:2" x14ac:dyDescent="0.25">
      <c r="A9" t="s">
        <v>6</v>
      </c>
      <c r="B9" s="5">
        <v>0.024674449218614922</v>
      </c>
    </row>
    <row r="10" spans="1:3" x14ac:dyDescent="0.25">
      <c r="A10" t="s">
        <v>7</v>
      </c>
      <c r="B10" s="5">
        <v>0.0407244686494836</v>
      </c>
      <c r="C10" s="6" t="s">
        <v>8</v>
      </c>
    </row>
    <row r="11" spans="1:2" x14ac:dyDescent="0.25">
      <c r="A11" t="s">
        <v>9</v>
      </c>
      <c r="B11" s="5">
        <v>0.05257797584309472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0.15770513822323382</v>
      </c>
      <c r="C14" s="6" t="s">
        <v>13</v>
      </c>
    </row>
    <row r="15" spans="1:3" x14ac:dyDescent="0.25">
      <c r="A15" t="s">
        <v>14</v>
      </c>
      <c r="B15" s="5">
        <v>0.024674449218614922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0.54306</v>
      </c>
      <c r="C19" s="6" t="s">
        <v>21</v>
      </c>
    </row>
    <row r="20" spans="1:2" x14ac:dyDescent="0.25">
      <c r="A20" t="s">
        <v>22</v>
      </c>
      <c r="B20" s="9">
        <f>B17+B19*B18</f>
        <v>0.071911438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404722974720</v>
      </c>
    </row>
    <row r="23" spans="1:2" x14ac:dyDescent="0.25">
      <c r="A23" t="s">
        <v>26</v>
      </c>
      <c r="B23" s="10">
        <v>45492000000</v>
      </c>
    </row>
    <row r="24" spans="1:2" x14ac:dyDescent="0.25">
      <c r="A24" t="s">
        <v>27</v>
      </c>
      <c r="B24" s="9">
        <f>B22/(B22+B23)</f>
        <v>0.8989549380753215</v>
      </c>
    </row>
    <row r="25" spans="1:2" x14ac:dyDescent="0.25">
      <c r="A25" t="s">
        <v>28</v>
      </c>
      <c r="B25" s="9">
        <f>1-B24</f>
        <v>0.10104506192467855</v>
      </c>
    </row>
    <row r="26" spans="1:2" x14ac:dyDescent="0.25">
      <c r="A26" t="s">
        <v>29</v>
      </c>
      <c r="B26" s="11">
        <f>B24*B20+B25*B21*(1-B8)</f>
        <v>0.06903206897097341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47941000000</v>
      </c>
      <c r="C29" s="6" t="s">
        <v>32</v>
      </c>
    </row>
    <row r="30" spans="1:2" x14ac:dyDescent="0.25">
      <c r="A30" t="s">
        <v>33</v>
      </c>
      <c r="B30" s="10">
        <v>29686000000</v>
      </c>
    </row>
    <row r="31" spans="1:2" x14ac:dyDescent="0.25">
      <c r="A31" t="s">
        <v>34</v>
      </c>
      <c r="B31" s="12">
        <v>4313000000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0.05301964894349309</v>
      </c>
      <c r="C5" s="5">
        <v>-0.029647003644635683</v>
      </c>
      <c r="D5" s="5">
        <v>-0.022816128189056224</v>
      </c>
      <c r="E5" s="5">
        <v>-0.015985252733476764</v>
      </c>
      <c r="F5" s="5">
        <v>-0.0091543772778973</v>
      </c>
      <c r="G5" s="5">
        <v>-0.002323501822317841</v>
      </c>
      <c r="H5" s="5">
        <v>0.004507373633261619</v>
      </c>
      <c r="I5" s="5">
        <v>0.011338249088841082</v>
      </c>
      <c r="J5" s="5">
        <v>0.018169124544420538</v>
      </c>
      <c r="K5" s="5">
        <v>0.025</v>
      </c>
    </row>
    <row r="6" spans="1:11" x14ac:dyDescent="0.25">
      <c r="A6" t="s">
        <v>50</v>
      </c>
      <c r="B6" s="18">
        <f>Assumptions!B29*(1+B5)</f>
        <v>50482814990</v>
      </c>
      <c r="C6" s="18">
        <f>B6*(1+C5)</f>
        <v>48986150790</v>
      </c>
      <c r="D6" s="18">
        <f>C6*(1+D5)</f>
        <v>47868476494.08692</v>
      </c>
      <c r="E6" s="18">
        <f>D6*(1+E5)</f>
        <v>47103286799.36245</v>
      </c>
      <c r="F6" s="18">
        <f>E6*(1+F5)</f>
        <v>46672085540.97209</v>
      </c>
      <c r="G6" s="18">
        <f>F6*(1+G5)</f>
        <v>46563642865.16627</v>
      </c>
      <c r="H6" s="18">
        <f>G6*(1+H5)</f>
        <v>46773522601.28533</v>
      </c>
      <c r="I6" s="18">
        <f>H6*(1+I5)</f>
        <v>47303852451.30125</v>
      </c>
      <c r="J6" s="18">
        <f>I6*(1+J5)</f>
        <v>48163322037.91983</v>
      </c>
      <c r="K6" s="18">
        <f>J6*(1+K5)</f>
        <v>49367405088.86782</v>
      </c>
    </row>
    <row r="7" spans="1:11" x14ac:dyDescent="0.25">
      <c r="A7" t="s">
        <v>4</v>
      </c>
      <c r="B7" s="9">
        <f>Assumptions!B7</f>
        <v>0.2938180936246566</v>
      </c>
      <c r="C7" s="9">
        <f>Assumptions!B7</f>
        <v>0.2938180936246566</v>
      </c>
      <c r="D7" s="9">
        <f>Assumptions!B7</f>
        <v>0.2938180936246566</v>
      </c>
      <c r="E7" s="9">
        <f>Assumptions!B7</f>
        <v>0.2938180936246566</v>
      </c>
      <c r="F7" s="9">
        <f>Assumptions!B7</f>
        <v>0.2938180936246566</v>
      </c>
      <c r="G7" s="9">
        <f>Assumptions!B7</f>
        <v>0.2938180936246566</v>
      </c>
      <c r="H7" s="9">
        <f>Assumptions!B7</f>
        <v>0.2938180936246566</v>
      </c>
      <c r="I7" s="9">
        <f>Assumptions!B7</f>
        <v>0.2938180936246566</v>
      </c>
      <c r="J7" s="9">
        <f>Assumptions!B7</f>
        <v>0.2938180936246566</v>
      </c>
      <c r="K7" s="9">
        <f>Assumptions!B7</f>
        <v>0.2938180936246566</v>
      </c>
    </row>
    <row r="8" spans="1:11" x14ac:dyDescent="0.25">
      <c r="A8" t="s">
        <v>51</v>
      </c>
      <c r="B8" s="18">
        <f>B6*B7</f>
        <v>14832764461.168037</v>
      </c>
      <c r="C8" s="18">
        <f>C6*C7</f>
        <v>14393017439.127766</v>
      </c>
      <c r="D8" s="18">
        <f>D6*D7</f>
        <v>14064624508.209305</v>
      </c>
      <c r="E8" s="18">
        <f>E6*E7</f>
        <v>13839797930.844128</v>
      </c>
      <c r="F8" s="18">
        <f>F6*F7</f>
        <v>13713103199.13532</v>
      </c>
      <c r="G8" s="18">
        <f>G6*G7</f>
        <v>13681240778.862495</v>
      </c>
      <c r="H8" s="18">
        <f>H6*H7</f>
        <v>13742907242.819445</v>
      </c>
      <c r="I8" s="18">
        <f>I6*I7</f>
        <v>13898727748.343372</v>
      </c>
      <c r="J8" s="18">
        <f>J6*J7</f>
        <v>14151255463.812016</v>
      </c>
      <c r="K8" s="18">
        <f>K6*K7</f>
        <v>14505036850.407314</v>
      </c>
    </row>
    <row r="9" spans="1:11" x14ac:dyDescent="0.25">
      <c r="A9" t="s">
        <v>52</v>
      </c>
      <c r="B9" s="18">
        <f>B8*(1-Assumptions!B8)</f>
        <v>12164196991.31592</v>
      </c>
      <c r="C9" s="18">
        <f>C8*(1-Assumptions!B8)</f>
        <v>11803564998.78031</v>
      </c>
      <c r="D9" s="18">
        <f>D8*(1-Assumptions!B8)</f>
        <v>11534253346.68028</v>
      </c>
      <c r="E9" s="18">
        <f>E8*(1-Assumptions!B8)</f>
        <v>11349875391.841646</v>
      </c>
      <c r="F9" s="18">
        <f>F8*(1-Assumptions!B8)</f>
        <v>11245974350.447607</v>
      </c>
      <c r="G9" s="18">
        <f>G8*(1-Assumptions!B8)</f>
        <v>11219844308.550602</v>
      </c>
      <c r="H9" s="18">
        <f>H8*(1-Assumptions!B8)</f>
        <v>11270416338.956263</v>
      </c>
      <c r="I9" s="18">
        <f>I8*(1-Assumptions!B8)</f>
        <v>11398203126.742296</v>
      </c>
      <c r="J9" s="18">
        <f>J8*(1-Assumptions!B8)</f>
        <v>11605298498.934679</v>
      </c>
      <c r="K9" s="18">
        <f>K8*(1-Assumptions!B8)</f>
        <v>11895430961.408045</v>
      </c>
    </row>
    <row r="10" spans="1:11" x14ac:dyDescent="0.25">
      <c r="A10" t="s">
        <v>53</v>
      </c>
      <c r="B10" s="18">
        <f>B6*Assumptions!B9</f>
        <v>1245635654.8834872</v>
      </c>
      <c r="C10" s="18">
        <f>C6*Assumptions!B9</f>
        <v>1208706290.0832682</v>
      </c>
      <c r="D10" s="18">
        <f>D6*Assumptions!B9</f>
        <v>1181128292.4258099</v>
      </c>
      <c r="E10" s="18">
        <f>E6*Assumptions!B9</f>
        <v>1162247658.1607234</v>
      </c>
      <c r="F10" s="18">
        <f>F6*Assumptions!B9</f>
        <v>1151608004.6075675</v>
      </c>
      <c r="G10" s="18">
        <f>G6*Assumptions!B9</f>
        <v>1148932241.310266</v>
      </c>
      <c r="H10" s="18">
        <f>H6*Assumptions!B9</f>
        <v>1154110908.2011523</v>
      </c>
      <c r="I10" s="18">
        <f>I6*Assumptions!B9</f>
        <v>1167196505.1544857</v>
      </c>
      <c r="J10" s="18">
        <f>J6*Assumptions!B9</f>
        <v>1188403443.8244498</v>
      </c>
      <c r="K10" s="18">
        <f>K6*Assumptions!B9</f>
        <v>1218113529.9200609</v>
      </c>
    </row>
    <row r="11" spans="1:11" x14ac:dyDescent="0.25">
      <c r="A11" t="s">
        <v>54</v>
      </c>
      <c r="B11" s="18">
        <f>-B6*B19</f>
        <v>-2055885816.3979356</v>
      </c>
      <c r="C11" s="18">
        <f>-C6*C19</f>
        <v>-2115481181.3922136</v>
      </c>
      <c r="D11" s="18">
        <f>-D6*D19</f>
        <v>-2185009912.8700795</v>
      </c>
      <c r="E11" s="18">
        <f>-E6*E19</f>
        <v>-2265994802.507414</v>
      </c>
      <c r="F11" s="18">
        <f>-F6*F19</f>
        <v>-2360102746.7608976</v>
      </c>
      <c r="G11" s="18">
        <f>-G6*G19</f>
        <v>-2469203901.1428733</v>
      </c>
      <c r="H11" s="18">
        <f>-H6*H19</f>
        <v>-2595434859.882046</v>
      </c>
      <c r="I11" s="18">
        <f>-I6*I19</f>
        <v>-2741268928.594656</v>
      </c>
      <c r="J11" s="18">
        <f>-J6*J19</f>
        <v>-2909596768.9937277</v>
      </c>
      <c r="K11" s="18">
        <f>-K6*K19</f>
        <v>-3103821106.6398973</v>
      </c>
    </row>
    <row r="12" spans="1:11" x14ac:dyDescent="0.25">
      <c r="A12" t="s">
        <v>55</v>
      </c>
      <c r="B12" s="18">
        <f>-(B6-Assumptions!B29)*Assumptions!B11</f>
        <v>-133643487.14183605</v>
      </c>
      <c r="C12" s="18">
        <f>-(C6-B6)*Assumptions!B11</f>
        <v>78691574.15282468</v>
      </c>
      <c r="D12" s="18">
        <f>-(D6-C6)*Assumptions!B11</f>
        <v>58765052.13096573</v>
      </c>
      <c r="E12" s="18">
        <f>-(E6-D6)*Assumptions!B11</f>
        <v>40232125.28460831</v>
      </c>
      <c r="F12" s="18">
        <f>-(F6-E6)*Assumptions!B11</f>
        <v>22671689.347160283</v>
      </c>
      <c r="G12" s="18">
        <f>-(G6-F6)*Assumptions!B11</f>
        <v>5701696.388879181</v>
      </c>
      <c r="H12" s="18">
        <f>-(H6-G6)*Assumptions!B11</f>
        <v>-11035051.695623258</v>
      </c>
      <c r="I12" s="18">
        <f>-(I6-H6)*Assumptions!B11</f>
        <v>-27883670.04300882</v>
      </c>
      <c r="J12" s="18">
        <f>-(J6-I6)*Assumptions!B11</f>
        <v>-45189171.16310649</v>
      </c>
      <c r="K12" s="18">
        <f>-(K6-J6)*Assumptions!B11</f>
        <v>-63308249.56582323</v>
      </c>
    </row>
    <row r="13" spans="1:11" x14ac:dyDescent="0.25">
      <c r="A13" s="19" t="s">
        <v>56</v>
      </c>
      <c r="B13" s="20">
        <f>B9+B10+B11+B12</f>
        <v>11220303342.659636</v>
      </c>
      <c r="C13" s="20">
        <f>C9+C10+C11+C12</f>
        <v>10975481681.62419</v>
      </c>
      <c r="D13" s="20">
        <f>D9+D10+D11+D12</f>
        <v>10589136778.366978</v>
      </c>
      <c r="E13" s="20">
        <f>E9+E10+E11+E12</f>
        <v>10286360372.779564</v>
      </c>
      <c r="F13" s="20">
        <f>F9+F10+F11+F12</f>
        <v>10060151297.641438</v>
      </c>
      <c r="G13" s="20">
        <f>G9+G10+G11+G12</f>
        <v>9905274345.106874</v>
      </c>
      <c r="H13" s="20">
        <f>H9+H10+H11+H12</f>
        <v>9818057335.579746</v>
      </c>
      <c r="I13" s="20">
        <f>I9+I10+I11+I12</f>
        <v>9796247033.259117</v>
      </c>
      <c r="J13" s="20">
        <f>J9+J10+J11+J12</f>
        <v>9838916002.602293</v>
      </c>
      <c r="K13" s="20">
        <f>K9+K10+K11+K12</f>
        <v>9946415135.122387</v>
      </c>
    </row>
    <row r="14" spans="1:11" x14ac:dyDescent="0.25">
      <c r="A14" t="s">
        <v>57</v>
      </c>
      <c r="B14" s="21">
        <f>1/(1+Assumptions!$B$26)^(1-0.5*Assumptions!$B$32)</f>
        <v>0.9671740449234292</v>
      </c>
      <c r="C14" s="21">
        <f>1/(1+Assumptions!$B$26)^(2-0.5*Assumptions!$B$32)</f>
        <v>0.9047193933615194</v>
      </c>
      <c r="D14" s="21">
        <f>1/(1+Assumptions!$B$26)^(3-0.5*Assumptions!$B$32)</f>
        <v>0.8462977113795869</v>
      </c>
      <c r="E14" s="21">
        <f>1/(1+Assumptions!$B$26)^(4-0.5*Assumptions!$B$32)</f>
        <v>0.7916485725205741</v>
      </c>
      <c r="F14" s="21">
        <f>1/(1+Assumptions!$B$26)^(5-0.5*Assumptions!$B$32)</f>
        <v>0.7405283672009928</v>
      </c>
      <c r="G14" s="21">
        <f>1/(1+Assumptions!$B$26)^(6-0.5*Assumptions!$B$32)</f>
        <v>0.6927092167719618</v>
      </c>
      <c r="H14" s="21">
        <f>1/(1+Assumptions!$B$26)^(7-0.5*Assumptions!$B$32)</f>
        <v>0.6479779577040644</v>
      </c>
      <c r="I14" s="21">
        <f>1/(1+Assumptions!$B$26)^(8-0.5*Assumptions!$B$32)</f>
        <v>0.6061351913678265</v>
      </c>
      <c r="J14" s="21">
        <f>1/(1+Assumptions!$B$26)^(9-0.5*Assumptions!$B$32)</f>
        <v>0.5669943951740184</v>
      </c>
      <c r="K14" s="21">
        <f>1/(1+Assumptions!$B$26)^(10-0.5*Assumptions!$B$32)</f>
        <v>0.5303810911115086</v>
      </c>
    </row>
    <row r="15" spans="1:11" x14ac:dyDescent="0.25">
      <c r="A15" s="19" t="s">
        <v>58</v>
      </c>
      <c r="B15" s="20">
        <f>B13*B14</f>
        <v>10851986169.187992</v>
      </c>
      <c r="C15" s="20">
        <f>C13*C14</f>
        <v>9929731128.849506</v>
      </c>
      <c r="D15" s="20">
        <f>D13*D14</f>
        <v>8961562221.017385</v>
      </c>
      <c r="E15" s="20">
        <f>E13*E14</f>
        <v>8143182505.543142</v>
      </c>
      <c r="F15" s="20">
        <f>F13*F14</f>
        <v>7449827414.237363</v>
      </c>
      <c r="G15" s="20">
        <f>G13*G14</f>
        <v>6861474833.51039</v>
      </c>
      <c r="H15" s="20">
        <f>H13*H14</f>
        <v>6361884740.930372</v>
      </c>
      <c r="I15" s="20">
        <f>I13*I14</f>
        <v>5937850070.191017</v>
      </c>
      <c r="J15" s="20">
        <f>J13*J14</f>
        <v>5578610228.0634575</v>
      </c>
      <c r="K15" s="20">
        <f>K13*K14</f>
        <v>5275390512.014235</v>
      </c>
    </row>
    <row r="17" spans="1:2" x14ac:dyDescent="0.25">
      <c r="A17" s="22" t="s">
        <v>59</v>
      </c>
      <c r="B17" s="23">
        <f>SUM(B15:K15)</f>
        <v>75351499823.54488</v>
      </c>
    </row>
    <row r="19" spans="1:11" x14ac:dyDescent="0.25">
      <c r="A19" t="s">
        <v>7</v>
      </c>
      <c r="B19" s="9">
        <f>Assumptions!$B$10+($B$20-Assumptions!$B$10)*0/9</f>
        <v>0.0407244686494836</v>
      </c>
      <c r="C19" s="9">
        <f>Assumptions!$B$10+($B$20-Assumptions!$B$10)*1/9</f>
        <v>0.04318529109300963</v>
      </c>
      <c r="D19" s="9">
        <f>Assumptions!$B$10+($B$20-Assumptions!$B$10)*2/9</f>
        <v>0.04564611353653565</v>
      </c>
      <c r="E19" s="9">
        <f>Assumptions!$B$10+($B$20-Assumptions!$B$10)*3/9</f>
        <v>0.04810693598006168</v>
      </c>
      <c r="F19" s="9">
        <f>Assumptions!$B$10+($B$20-Assumptions!$B$10)*4/9</f>
        <v>0.05056775842358771</v>
      </c>
      <c r="G19" s="9">
        <f>Assumptions!$B$10+($B$20-Assumptions!$B$10)*5/9</f>
        <v>0.05302858086711374</v>
      </c>
      <c r="H19" s="9">
        <f>Assumptions!$B$10+($B$20-Assumptions!$B$10)*6/9</f>
        <v>0.05548940331063977</v>
      </c>
      <c r="I19" s="9">
        <f>Assumptions!$B$10+($B$20-Assumptions!$B$10)*7/9</f>
        <v>0.05795022575416579</v>
      </c>
      <c r="J19" s="9">
        <f>Assumptions!$B$10+($B$20-Assumptions!$B$10)*8/9</f>
        <v>0.06041104819769182</v>
      </c>
      <c r="K19" s="9">
        <f>Assumptions!$B$10+($B$20-Assumptions!$B$10)*9/9</f>
        <v>0.06287187064121785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0.06287187064121785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9946415135.122387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11895430961.408045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0.15852368719028137</v>
      </c>
    </row>
    <row r="7" spans="1:2" x14ac:dyDescent="0.25">
      <c r="A7" t="s">
        <v>66</v>
      </c>
      <c r="B7" s="18">
        <f>-MAX(B5,0)*B6</f>
        <v>-1885707576.719837</v>
      </c>
    </row>
    <row r="8" spans="1:2" x14ac:dyDescent="0.25">
      <c r="A8" t="s">
        <v>67</v>
      </c>
      <c r="B8" s="18">
        <f>IF(OR(Assumptions!$B$33=0,Assumptions!B12&lt;=0),B5,MAX(B5+B7,0))</f>
        <v>10009723384.688208</v>
      </c>
    </row>
    <row r="9" spans="1:2" x14ac:dyDescent="0.25">
      <c r="A9" t="s">
        <v>68</v>
      </c>
      <c r="B9" s="18">
        <f>B8*(1+Assumptions!B12)/(Assumptions!B26-Assumptions!B12)</f>
        <v>233011228158.93417</v>
      </c>
    </row>
    <row r="10" spans="1:2" x14ac:dyDescent="0.25">
      <c r="A10" t="s">
        <v>69</v>
      </c>
      <c r="B10" s="18">
        <f>B9/(1+Assumptions!B26)^(10-0.5*Assumptions!B32)</f>
        <v>123584749432.16817</v>
      </c>
    </row>
    <row r="11" spans="1:2" x14ac:dyDescent="0.25">
      <c r="A11" t="s">
        <v>70</v>
      </c>
      <c r="B11" s="18">
        <f>Forecast!B17+B10</f>
        <v>198936249255.71304</v>
      </c>
    </row>
    <row r="12" spans="1:2" x14ac:dyDescent="0.25">
      <c r="A12" t="s">
        <v>71</v>
      </c>
      <c r="B12" s="18">
        <f>-Assumptions!B30</f>
        <v>-29686000000</v>
      </c>
    </row>
    <row r="13" spans="1:2" x14ac:dyDescent="0.25">
      <c r="A13" t="s">
        <v>72</v>
      </c>
      <c r="B13" s="18">
        <f>B11+B12</f>
        <v>169250249255.71304</v>
      </c>
    </row>
    <row r="14" spans="1:2" x14ac:dyDescent="0.25">
      <c r="A14" s="19" t="s">
        <v>73</v>
      </c>
      <c r="B14" s="24">
        <f>B13/Assumptions!B31</f>
        <v>39.24188482627244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15723150380.327375</v>
      </c>
    </row>
    <row r="18" spans="1:2" x14ac:dyDescent="0.25">
      <c r="A18" t="s">
        <v>68</v>
      </c>
      <c r="B18" s="18">
        <f>B17*Assumptions!B13</f>
        <v>314463007606.5475</v>
      </c>
    </row>
    <row r="19" spans="1:2" x14ac:dyDescent="0.25">
      <c r="A19" t="s">
        <v>69</v>
      </c>
      <c r="B19" s="18">
        <f>B18/(1+Assumptions!B26)^(10-0.5*Assumptions!B32)</f>
        <v>166785233088.56726</v>
      </c>
    </row>
    <row r="20" spans="1:2" x14ac:dyDescent="0.25">
      <c r="A20" t="s">
        <v>70</v>
      </c>
      <c r="B20" s="18">
        <f>Forecast!B17+B19</f>
        <v>242136732912.11212</v>
      </c>
    </row>
    <row r="21" spans="1:2" x14ac:dyDescent="0.25">
      <c r="A21" t="s">
        <v>71</v>
      </c>
      <c r="B21" s="18">
        <f>-Assumptions!B30</f>
        <v>-29686000000</v>
      </c>
    </row>
    <row r="22" spans="1:2" x14ac:dyDescent="0.25">
      <c r="A22" t="s">
        <v>72</v>
      </c>
      <c r="B22" s="18">
        <f>B20+B21</f>
        <v>212450732912.11212</v>
      </c>
    </row>
    <row r="23" spans="1:2" x14ac:dyDescent="0.25">
      <c r="A23" s="19" t="s">
        <v>73</v>
      </c>
      <c r="B23" s="25">
        <f>B22/Assumptions!B31</f>
        <v>49.258226967797846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94.08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39.24188482627244</v>
      </c>
    </row>
    <row r="29" spans="1:2" x14ac:dyDescent="0.25">
      <c r="A29" s="19" t="s">
        <v>81</v>
      </c>
      <c r="B29" s="11">
        <f>B28/B26-1</f>
        <v>-0.5828881289724444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0.049032</v>
      </c>
      <c r="B5" s="31">
        <v>59.95121755942652</v>
      </c>
      <c r="C5" s="31">
        <v>66.10363763350048</v>
      </c>
      <c r="D5" s="31">
        <v>74.92039062840483</v>
      </c>
      <c r="E5" s="31">
        <v>88.50136062423917</v>
      </c>
      <c r="F5" s="31">
        <v>111.93942497376497</v>
      </c>
    </row>
    <row r="6" spans="1:6" x14ac:dyDescent="0.25">
      <c r="A6" s="30">
        <v>0.059032</v>
      </c>
      <c r="B6" s="31">
        <v>45.25639651309458</v>
      </c>
      <c r="C6" s="31">
        <v>48.10290459406448</v>
      </c>
      <c r="D6" s="31">
        <v>51.85539542441926</v>
      </c>
      <c r="E6" s="31">
        <v>56.98196425218779</v>
      </c>
      <c r="F6" s="31">
        <v>64.34026628547612</v>
      </c>
    </row>
    <row r="7" spans="1:6" x14ac:dyDescent="0.25">
      <c r="A7" s="30">
        <v>0.069032</v>
      </c>
      <c r="B7" s="31">
        <v>35.994006992192894</v>
      </c>
      <c r="C7" s="31">
        <v>37.429542254884936</v>
      </c>
      <c r="D7" s="32">
        <v>39.24195214708598</v>
      </c>
      <c r="E7" s="31">
        <v>41.57606961208961</v>
      </c>
      <c r="F7" s="31">
        <v>44.66184333325379</v>
      </c>
    </row>
    <row r="8" spans="1:6" x14ac:dyDescent="0.25">
      <c r="A8" s="30">
        <v>0.079032</v>
      </c>
      <c r="B8" s="31">
        <v>29.619082094718834</v>
      </c>
      <c r="C8" s="31">
        <v>30.360495012981442</v>
      </c>
      <c r="D8" s="31">
        <v>31.278358877957036</v>
      </c>
      <c r="E8" s="31">
        <v>32.42665403310899</v>
      </c>
      <c r="F8" s="31">
        <v>33.88387950988363</v>
      </c>
    </row>
    <row r="9" spans="1:6" x14ac:dyDescent="0.25">
      <c r="A9" s="30">
        <v>0.089032</v>
      </c>
      <c r="B9" s="31">
        <v>24.961712076696546</v>
      </c>
      <c r="C9" s="31">
        <v>25.32995758744767</v>
      </c>
      <c r="D9" s="31">
        <v>25.787082131526663</v>
      </c>
      <c r="E9" s="31">
        <v>26.3556698243272</v>
      </c>
      <c r="F9" s="31">
        <v>27.066664314628177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47941000000</v>
      </c>
      <c r="C5" s="18">
        <v>47061000000</v>
      </c>
      <c r="D5" s="18">
        <v>45754000000</v>
      </c>
      <c r="E5" s="18">
        <v>43004000000</v>
      </c>
      <c r="F5" s="6" t="s">
        <v>91</v>
      </c>
    </row>
    <row r="6" spans="1:6" x14ac:dyDescent="0.25">
      <c r="A6" t="s">
        <v>51</v>
      </c>
      <c r="B6" s="18">
        <v>14911000000</v>
      </c>
      <c r="C6" s="18">
        <v>14022000000</v>
      </c>
      <c r="D6" s="18">
        <v>13098000000</v>
      </c>
      <c r="E6" s="18">
        <v>12042000000</v>
      </c>
      <c r="F6" s="6" t="s">
        <v>92</v>
      </c>
    </row>
    <row r="7" spans="1:6" x14ac:dyDescent="0.25">
      <c r="A7" t="s">
        <v>93</v>
      </c>
      <c r="B7" s="18">
        <v>1050000000</v>
      </c>
      <c r="C7" s="18">
        <v>1075000000</v>
      </c>
      <c r="D7" s="18">
        <v>1128000000</v>
      </c>
      <c r="E7" s="18">
        <v>1260000000</v>
      </c>
      <c r="F7" s="6" t="s">
        <v>94</v>
      </c>
    </row>
    <row r="8" spans="1:6" x14ac:dyDescent="0.25">
      <c r="A8" t="s">
        <v>95</v>
      </c>
      <c r="B8" s="18">
        <v>2112000000</v>
      </c>
      <c r="C8" s="18">
        <v>2064000000</v>
      </c>
      <c r="D8" s="18">
        <v>1852000000</v>
      </c>
      <c r="E8" s="18">
        <v>1484000000</v>
      </c>
      <c r="F8" s="6" t="s">
        <v>96</v>
      </c>
    </row>
    <row r="9" spans="1:6" x14ac:dyDescent="0.25">
      <c r="A9" t="s">
        <v>97</v>
      </c>
      <c r="B9" s="18">
        <v>7208000000</v>
      </c>
      <c r="C9" s="18">
        <v>6234000000</v>
      </c>
      <c r="D9" s="18">
        <v>846000000</v>
      </c>
      <c r="E9" s="18">
        <v>605000000</v>
      </c>
      <c r="F9" s="6" t="s">
        <v>98</v>
      </c>
    </row>
    <row r="10" spans="1:6" x14ac:dyDescent="0.25">
      <c r="A10" t="s">
        <v>99</v>
      </c>
      <c r="B10" s="18">
        <v>45492000000</v>
      </c>
      <c r="C10" s="18">
        <v>44522000000</v>
      </c>
      <c r="D10" s="18">
        <v>42064000000</v>
      </c>
      <c r="E10" s="18">
        <v>39149000000</v>
      </c>
      <c r="F10" s="6" t="s">
        <v>100</v>
      </c>
    </row>
    <row r="11" spans="1:6" x14ac:dyDescent="0.25">
      <c r="A11" t="s">
        <v>101</v>
      </c>
      <c r="B11" s="18">
        <v>15806000000</v>
      </c>
      <c r="C11" s="18">
        <v>14571000000</v>
      </c>
      <c r="D11" s="18">
        <v>13663000000</v>
      </c>
      <c r="E11" s="18">
        <v>11631000000</v>
      </c>
      <c r="F11" s="6" t="s">
        <v>102</v>
      </c>
    </row>
    <row r="12" spans="1:6" x14ac:dyDescent="0.25">
      <c r="A12" t="s">
        <v>34</v>
      </c>
      <c r="B12" s="34">
        <v>4313000000</v>
      </c>
      <c r="C12" s="34">
        <v>4320000000</v>
      </c>
      <c r="D12" s="34">
        <v>4339000000</v>
      </c>
      <c r="E12" s="34">
        <v>4350000000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