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<sst xmlns="http://schemas.openxmlformats.org/spreadsheetml/2006/main" count="113" uniqueCount="101">
  <si>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The Coca-Cola Company (KO)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</si>
  <si>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</si>
  <si>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</si>
  <si>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</si>
  <si>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</si>
  <si>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</si>
  <si>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</si>
  <si>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</si>
  <si>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</si>
  <si>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</si>
  <si>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</si>
  <si>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</si>
  <si>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</si>
  <si>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</si>
  <si>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</si>
  <si>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</si>
  <si>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</si>
  <si>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</si>
  <si>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</si>
  <si>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</si>
  <si>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</si>
  <si>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</si>
  <si>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</si>
  <si>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</si>
  <si>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</si>
  <si>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</si>
  <si>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</si>
  <si>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</si>
  <si>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</si>
  <si>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</si>
  <si>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</si>
  <si>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</si>
  <si>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</si>
  <si>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</si>
  <si>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</si>
  <si>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</si>
  <si>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</si>
  <si>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</si>
  <si>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</si>
  <si>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</si>
  <si>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</si>
  <si>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</si>
  <si>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</si>
  <si>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</si>
  <si>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</si>
  <si>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</si>
  <si>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</si>
  <si>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</si>
  <si>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</si>
  <si>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</si>
  <si>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</si>
  <si>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</si>
  <si>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</si>
  <si>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</si>
  <si>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</si>
  <si>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</si>
  <si>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</si>
  <si>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</si>
  <si>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</si>
  <si>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</si>
  <si>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</si>
  <si>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</si>
  <si>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</si>
  <si>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</si>
  <si>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</si>
  <si>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</si>
  <si>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</si>
  <si>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</si>
  <si>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</si>
  <si>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</si>
  <si>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</si>
  <si>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</si>
  <si>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</si>
  <si>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</si>
  <si>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</si>
  <si>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</si>
  <si>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</si>
  <si>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</si>
  <si>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</si>
  <si>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</si>
  <si>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</si>
  <si>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</si>
  <si>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</si>
  <si>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</si>
  <si>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</si>
  <si>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</si>
  <si>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</si>
  <si>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</si>
  <si>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</si>
  <si>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</si>
  <si>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</si>
  <si>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</si>
  <si>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</si>
  <si>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</si>
  <si>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</si>
  <si>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</si>
  <si>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</si>
  <si>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</si>
  <si>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4.1% of revenue against depreciation of 2.5%. A perpetuity has to be a steady state, so the terminal year uses maintenance capex at depreciation and then charges the reinvestment terminal growth requires (g/ROIC of NOPAT). The bridge is shown under Terminal Value.</t>
  </si>
  <si>
    <t>Current EV/EBITDA of 25.6x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</si>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</sst>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0.03689014114187783</v>
      </c>
    </row>
    <row r="7" spans="1:2" x14ac:dyDescent="0.25">
      <c r="A7" t="s">
        <v>5</v>
      </c>
      <c r="B7" s="6">
        <v>0.2938180936246566</v>
      </c>
    </row>
    <row r="8" spans="1:2" x14ac:dyDescent="0.25">
      <c r="A8" t="s">
        <v>6</v>
      </c>
      <c r="B8" s="6">
        <v>0.1799103246625664</v>
      </c>
    </row>
    <row r="9" spans="1:2" x14ac:dyDescent="0.25">
      <c r="A9" t="s">
        <v>7</v>
      </c>
      <c r="B9" s="6">
        <v>0.024674449218614922</v>
      </c>
    </row>
    <row r="10" spans="1:2" x14ac:dyDescent="0.25">
      <c r="A10" t="s">
        <v>8</v>
      </c>
      <c r="B10" s="6">
        <v>0.0407244686494836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0.15770513822323382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0.55914</v>
      </c>
      <c r="C19" s="8" t="s">
        <v>19</v>
      </c>
    </row>
    <row r="20" spans="1:2" x14ac:dyDescent="0.25">
      <c r="A20" t="s">
        <v>20</v>
      </c>
      <c r="B20" s="10">
        <f>B17+B19*B18</f>
        <v>0.0807327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379699953664</v>
      </c>
    </row>
    <row r="23" spans="1:2" x14ac:dyDescent="0.25">
      <c r="A23" t="s">
        <v>24</v>
      </c>
      <c r="B23" s="11">
        <v>45492000000</v>
      </c>
    </row>
    <row r="24" spans="1:2" x14ac:dyDescent="0.25">
      <c r="A24" t="s">
        <v>25</v>
      </c>
      <c r="B24" s="10">
        <f>B22/(B22+B23)</f>
        <v>0.8930083233984498</v>
      </c>
    </row>
    <row r="25" spans="1:2" x14ac:dyDescent="0.25">
      <c r="A25" t="s">
        <v>26</v>
      </c>
      <c r="B25" s="10">
        <f>1-B24</f>
        <v>0.10699167660155018</v>
      </c>
    </row>
    <row r="26" spans="1:2" x14ac:dyDescent="0.25">
      <c r="A26" t="s">
        <v>27</v>
      </c>
      <c r="B26" s="12">
        <f>B24*B20+B25*B21*(1-B8)</f>
        <v>0.07648035668144212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47941000000</v>
      </c>
      <c r="C29" s="8" t="s">
        <v>30</v>
      </c>
    </row>
    <row r="30" spans="1:2" x14ac:dyDescent="0.25">
      <c r="A30" t="s">
        <v>31</v>
      </c>
      <c r="B30" s="11">
        <v>29686000000</v>
      </c>
    </row>
    <row r="31" spans="1:2" x14ac:dyDescent="0.25">
      <c r="A31" t="s">
        <v>32</v>
      </c>
      <c r="B31" s="13">
        <v>4313000000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0.03689014114187783</v>
      </c>
      <c r="C5" s="10">
        <f>Assumptions!B6</f>
        <v>0.03689014114187783</v>
      </c>
      <c r="D5" s="10">
        <f>Assumptions!B6</f>
        <v>0.03689014114187783</v>
      </c>
      <c r="E5" s="10">
        <f>Assumptions!B6</f>
        <v>0.03689014114187783</v>
      </c>
      <c r="F5" s="10">
        <f>Assumptions!B6</f>
        <v>0.03689014114187783</v>
      </c>
    </row>
    <row r="6" spans="1:6" x14ac:dyDescent="0.25">
      <c r="A6" t="s">
        <v>43</v>
      </c>
      <c r="B6" s="18">
        <f>Assumptions!B29*(1+B5)</f>
        <v>49709550256.482765</v>
      </c>
      <c r="C6" s="18">
        <f>B6*(1+C5)</f>
        <v>51543342581.543686</v>
      </c>
      <c r="D6" s="18">
        <f>C6*(1+D5)</f>
        <v>53444783764.300995</v>
      </c>
      <c r="E6" s="18">
        <f>D6*(1+E5)</f>
        <v>55416369380.6632</v>
      </c>
      <c r="F6" s="18">
        <f>E6*(1+F5)</f>
        <v>57460687068.6863</v>
      </c>
    </row>
    <row r="7" spans="1:6" x14ac:dyDescent="0.25">
      <c r="A7" t="s">
        <v>5</v>
      </c>
      <c r="B7" s="10">
        <f>Assumptions!B7</f>
        <v>0.2938180936246566</v>
      </c>
      <c r="C7" s="10">
        <f>Assumptions!B7</f>
        <v>0.2938180936246566</v>
      </c>
      <c r="D7" s="10">
        <f>Assumptions!B7</f>
        <v>0.2938180936246566</v>
      </c>
      <c r="E7" s="10">
        <f>Assumptions!B7</f>
        <v>0.2938180936246566</v>
      </c>
      <c r="F7" s="10">
        <f>Assumptions!B7</f>
        <v>0.2938180936246566</v>
      </c>
    </row>
    <row r="8" spans="1:6" x14ac:dyDescent="0.25">
      <c r="A8" t="s">
        <v>44</v>
      </c>
      <c r="B8" s="18">
        <f>B6*B7</f>
        <v>14605565291.298826</v>
      </c>
      <c r="C8" s="18">
        <f>C6*C7</f>
        <v>15144366656.351751</v>
      </c>
      <c r="D8" s="18">
        <f>D6*D7</f>
        <v>15703044479.808918</v>
      </c>
      <c r="E8" s="18">
        <f>E6*E7</f>
        <v>16282332007.026255</v>
      </c>
      <c r="F8" s="18">
        <f>F6*F7</f>
        <v>16882989532.884367</v>
      </c>
    </row>
    <row r="9" spans="1:6" x14ac:dyDescent="0.25">
      <c r="A9" t="s">
        <v>45</v>
      </c>
      <c r="B9" s="18">
        <f>B8*(1-Assumptions!B8)</f>
        <v>11977873297.860943</v>
      </c>
      <c r="C9" s="18">
        <f>C8*(1-Assumptions!B8)</f>
        <v>12419738734.398563</v>
      </c>
      <c r="D9" s="18">
        <f>D8*(1-Assumptions!B8)</f>
        <v>12877904649.255774</v>
      </c>
      <c r="E9" s="18">
        <f>E8*(1-Assumptions!B8)</f>
        <v>13352972369.378466</v>
      </c>
      <c r="F9" s="18">
        <f>F8*(1-Assumptions!B8)</f>
        <v>13845565404.74843</v>
      </c>
    </row>
    <row r="10" spans="1:6" x14ac:dyDescent="0.25">
      <c r="A10" t="s">
        <v>46</v>
      </c>
      <c r="B10" s="18">
        <f>B6*Assumptions!B9</f>
        <v>1226555773.4837704</v>
      </c>
      <c r="C10" s="18">
        <f>C6*Assumptions!B9</f>
        <v>1271803589.0859718</v>
      </c>
      <c r="D10" s="18">
        <f>D6*Assumptions!B9</f>
        <v>1318720602.9921002</v>
      </c>
      <c r="E10" s="18">
        <f>E6*Assumptions!B9</f>
        <v>1367368392.163181</v>
      </c>
      <c r="F10" s="18">
        <f>F6*Assumptions!B9</f>
        <v>1417810805.1430233</v>
      </c>
    </row>
    <row r="11" spans="1:6" x14ac:dyDescent="0.25">
      <c r="A11" t="s">
        <v>47</v>
      </c>
      <c r="B11" s="18">
        <f>-B6*Assumptions!B10</f>
        <v>-2024395021.0000618</v>
      </c>
      <c r="C11" s="18">
        <f>-C6*Assumptions!B10</f>
        <v>-2099075239.051669</v>
      </c>
      <c r="D11" s="18">
        <f>-D6*Assumptions!B10</f>
        <v>-2176510420.887706</v>
      </c>
      <c r="E11" s="18">
        <f>-E6*Assumptions!B10</f>
        <v>-2256802197.511021</v>
      </c>
      <c r="F11" s="18">
        <f>-F6*Assumptions!B10</f>
        <v>-2340055949.106503</v>
      </c>
    </row>
    <row r="12" spans="1:6" x14ac:dyDescent="0.25">
      <c r="A12" t="s">
        <v>48</v>
      </c>
      <c r="B12" s="18">
        <f>-(B6-Assumptions!B29)*Assumptions!B11</f>
        <v>-1768550256.4827652</v>
      </c>
      <c r="C12" s="18">
        <f>-(C6-B6)*Assumptions!B11</f>
        <v>-1833792325.0609207</v>
      </c>
      <c r="D12" s="18">
        <f>-(D6-C6)*Assumptions!B11</f>
        <v>-1901441182.757309</v>
      </c>
      <c r="E12" s="18">
        <f>-(E6-D6)*Assumptions!B11</f>
        <v>-1971585616.3622055</v>
      </c>
      <c r="F12" s="18">
        <f>-(F6-E6)*Assumptions!B11</f>
        <v>-2044317688.0231018</v>
      </c>
    </row>
    <row r="13" spans="1:6" x14ac:dyDescent="0.25">
      <c r="A13" s="19" t="s">
        <v>49</v>
      </c>
      <c r="B13" s="20">
        <f>B9+B10+B11+B12</f>
        <v>9411483793.861887</v>
      </c>
      <c r="C13" s="20">
        <f>C9+C10+C11+C12</f>
        <v>9758674759.371946</v>
      </c>
      <c r="D13" s="20">
        <f>D9+D10+D11+D12</f>
        <v>10118673648.60286</v>
      </c>
      <c r="E13" s="20">
        <f>E9+E10+E11+E12</f>
        <v>10491952947.66842</v>
      </c>
      <c r="F13" s="20">
        <f>F9+F10+F11+F12</f>
        <v>10879002572.761848</v>
      </c>
    </row>
    <row r="14" spans="1:6" x14ac:dyDescent="0.25">
      <c r="A14" t="s">
        <v>50</v>
      </c>
      <c r="B14" s="21">
        <f>1/(1+Assumptions!$B$26)^(1-0.5*Assumptions!$B$32)</f>
        <v>0.9638222444180687</v>
      </c>
      <c r="C14" s="21">
        <f>1/(1+Assumptions!$B$26)^(2-0.5*Assumptions!$B$32)</f>
        <v>0.895345872719244</v>
      </c>
      <c r="D14" s="21">
        <f>1/(1+Assumptions!$B$26)^(3-0.5*Assumptions!$B$32)</f>
        <v>0.8317345199678359</v>
      </c>
      <c r="E14" s="21">
        <f>1/(1+Assumptions!$B$26)^(4-0.5*Assumptions!$B$32)</f>
        <v>0.7726425427138262</v>
      </c>
      <c r="F14" s="21">
        <f>1/(1+Assumptions!$B$26)^(5-0.5*Assumptions!$B$32)</f>
        <v>0.7177488543271866</v>
      </c>
    </row>
    <row r="15" spans="1:6" x14ac:dyDescent="0.25">
      <c r="A15" s="19" t="s">
        <v>51</v>
      </c>
      <c r="B15" s="20">
        <f>B13*B14</f>
        <v>9070997433.504244</v>
      </c>
      <c r="C15" s="20">
        <f>C13*C14</f>
        <v>8737389169.013134</v>
      </c>
      <c r="D15" s="20">
        <f>D13*D14</f>
        <v>8416050169.83189</v>
      </c>
      <c r="E15" s="20">
        <f>E13*E14</f>
        <v>8106529203.520352</v>
      </c>
      <c r="F15" s="20">
        <f>F13*F14</f>
        <v>7808391632.822332</v>
      </c>
    </row>
    <row r="17" spans="1:2" x14ac:dyDescent="0.25">
      <c r="A17" s="22" t="s">
        <v>52</v>
      </c>
      <c r="B17" s="23">
        <f>SUM(B15:F15)</f>
        <v>42139357608.691956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10879002572.761848</v>
      </c>
    </row>
    <row r="5" spans="1:2" x14ac:dyDescent="0.25">
      <c r="A5" t="s">
        <v>56</v>
      </c>
      <c r="B5" s="18">
        <f>IF(Assumptions!$B$33=0,B4,B4-Forecast!F11-Forecast!F10-Forecast!F12)</f>
        <v>13845565404.74843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0.15852368719028137</v>
      </c>
    </row>
    <row r="7" spans="1:2" x14ac:dyDescent="0.25">
      <c r="A7" t="s">
        <v>58</v>
      </c>
      <c r="B7" s="18">
        <f>-MAX(Forecast!F9,0)*B6</f>
        <v>-2194850079.1949215</v>
      </c>
    </row>
    <row r="8" spans="1:2" x14ac:dyDescent="0.25">
      <c r="A8" t="s">
        <v>59</v>
      </c>
      <c r="B8" s="18">
        <f>IF(OR(Assumptions!$B$33=0,Assumptions!B12&lt;=0),B5,MAX(B5+B7,0))</f>
        <v>11650715325.553509</v>
      </c>
    </row>
    <row r="9" spans="1:2" x14ac:dyDescent="0.25">
      <c r="A9" t="s">
        <v>60</v>
      </c>
      <c r="B9" s="18">
        <f>B8*(1+Assumptions!B12)/(Assumptions!B26-Assumptions!B12)</f>
        <v>231971648576.34418</v>
      </c>
    </row>
    <row r="10" spans="1:2" x14ac:dyDescent="0.25">
      <c r="A10" t="s">
        <v>61</v>
      </c>
      <c r="B10" s="18">
        <f>B9/(1+Assumptions!B26)^(5-0.5*Assumptions!B32)</f>
        <v>166497385002.05978</v>
      </c>
    </row>
    <row r="11" spans="1:2" x14ac:dyDescent="0.25">
      <c r="A11" t="s">
        <v>62</v>
      </c>
      <c r="B11" s="18">
        <f>Forecast!B17+B10</f>
        <v>208636742610.75174</v>
      </c>
    </row>
    <row r="12" spans="1:2" x14ac:dyDescent="0.25">
      <c r="A12" t="s">
        <v>63</v>
      </c>
      <c r="B12" s="18">
        <f>-Assumptions!B30</f>
        <v>-29686000000</v>
      </c>
    </row>
    <row r="13" spans="1:2" x14ac:dyDescent="0.25">
      <c r="A13" t="s">
        <v>64</v>
      </c>
      <c r="B13" s="18">
        <f>B11+B12</f>
        <v>178950742610.75174</v>
      </c>
    </row>
    <row r="14" spans="1:2" x14ac:dyDescent="0.25">
      <c r="A14" s="19" t="s">
        <v>65</v>
      </c>
      <c r="B14" s="24">
        <f>B13/Assumptions!B31</f>
        <v>41.49101382118056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18300800338.02739</v>
      </c>
    </row>
    <row r="18" spans="1:2" x14ac:dyDescent="0.25">
      <c r="A18" t="s">
        <v>60</v>
      </c>
      <c r="B18" s="18">
        <f>B17*Assumptions!B13</f>
        <v>366016006760.5478</v>
      </c>
    </row>
    <row r="19" spans="1:2" x14ac:dyDescent="0.25">
      <c r="A19" t="s">
        <v>61</v>
      </c>
      <c r="B19" s="18">
        <f>B18/(1+Assumptions!B26)^(5-0.5*Assumptions!B32)</f>
        <v>262707569517.79495</v>
      </c>
    </row>
    <row r="20" spans="1:2" x14ac:dyDescent="0.25">
      <c r="A20" t="s">
        <v>62</v>
      </c>
      <c r="B20" s="18">
        <f>Forecast!B17+B19</f>
        <v>304846927126.48694</v>
      </c>
    </row>
    <row r="21" spans="1:2" x14ac:dyDescent="0.25">
      <c r="A21" t="s">
        <v>63</v>
      </c>
      <c r="B21" s="18">
        <f>-Assumptions!B30</f>
        <v>-29686000000</v>
      </c>
    </row>
    <row r="22" spans="1:2" x14ac:dyDescent="0.25">
      <c r="A22" t="s">
        <v>64</v>
      </c>
      <c r="B22" s="18">
        <f>B20+B21</f>
        <v>275160927126.48694</v>
      </c>
    </row>
    <row r="23" spans="1:2" x14ac:dyDescent="0.25">
      <c r="A23" s="19" t="s">
        <v>65</v>
      </c>
      <c r="B23" s="25">
        <f>B22/Assumptions!B31</f>
        <v>63.79803550347483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41.49101382118056</v>
      </c>
    </row>
    <row r="29" spans="1:2" x14ac:dyDescent="0.25">
      <c r="A29" s="19" t="s">
        <v>73</v>
      </c>
      <c r="B29" s="12">
        <f>B28/B26-1</f>
        <v>-0.5298468688818068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0.05648</v>
      </c>
      <c r="B5" s="31">
        <v>58.856293065792684</v>
      </c>
      <c r="C5" s="31">
        <v>64.55318183425703</v>
      </c>
      <c r="D5" s="31">
        <v>72.03450668352897</v>
      </c>
      <c r="E5" s="31">
        <v>82.31108865636213</v>
      </c>
      <c r="F5" s="31">
        <v>97.33492295077407</v>
      </c>
    </row>
    <row r="6" spans="1:6" x14ac:dyDescent="0.25">
      <c r="A6" s="30">
        <v>0.06648</v>
      </c>
      <c r="B6" s="31">
        <v>45.983099721159896</v>
      </c>
      <c r="C6" s="31">
        <v>49.15692323251222</v>
      </c>
      <c r="D6" s="31">
        <v>53.07752561034528</v>
      </c>
      <c r="E6" s="31">
        <v>58.0519705333108</v>
      </c>
      <c r="F6" s="31">
        <v>64.58240660931807</v>
      </c>
    </row>
    <row r="7" spans="1:6" x14ac:dyDescent="0.25">
      <c r="A7" s="30">
        <v>0.07648</v>
      </c>
      <c r="B7" s="31">
        <v>37.30895189695107</v>
      </c>
      <c r="C7" s="31">
        <v>39.221489064088715</v>
      </c>
      <c r="D7" s="32">
        <v>41.49134669847403</v>
      </c>
      <c r="E7" s="31">
        <v>44.233839064494234</v>
      </c>
      <c r="F7" s="31">
        <v>47.61988036114936</v>
      </c>
    </row>
    <row r="8" spans="1:6" x14ac:dyDescent="0.25">
      <c r="A8" s="30">
        <v>0.08648</v>
      </c>
      <c r="B8" s="31">
        <v>31.070939794915876</v>
      </c>
      <c r="C8" s="31">
        <v>32.2821490138939</v>
      </c>
      <c r="D8" s="31">
        <v>33.67896901846295</v>
      </c>
      <c r="E8" s="31">
        <v>35.310694457770836</v>
      </c>
      <c r="F8" s="31">
        <v>37.24577097131021</v>
      </c>
    </row>
    <row r="9" spans="1:6" x14ac:dyDescent="0.25">
      <c r="A9" s="30">
        <v>0.09648</v>
      </c>
      <c r="B9" s="31">
        <v>26.371631600175107</v>
      </c>
      <c r="C9" s="31">
        <v>27.163284281778925</v>
      </c>
      <c r="D9" s="31">
        <v>28.056281240328172</v>
      </c>
      <c r="E9" s="31">
        <v>29.073488964303333</v>
      </c>
      <c r="F9" s="31">
        <v>30.24521261768277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47941000000</v>
      </c>
      <c r="C5" s="18">
        <v>47061000000</v>
      </c>
      <c r="D5" s="18">
        <v>45754000000</v>
      </c>
      <c r="E5" s="18">
        <v>43004000000</v>
      </c>
      <c r="F5" s="8" t="s">
        <v>84</v>
      </c>
    </row>
    <row r="6" spans="1:6" x14ac:dyDescent="0.25">
      <c r="A6" t="s">
        <v>44</v>
      </c>
      <c r="B6" s="18">
        <v>14911000000</v>
      </c>
      <c r="C6" s="18">
        <v>14022000000</v>
      </c>
      <c r="D6" s="18">
        <v>13098000000</v>
      </c>
      <c r="E6" s="18">
        <v>12042000000</v>
      </c>
      <c r="F6" s="8" t="s">
        <v>85</v>
      </c>
    </row>
    <row r="7" spans="1:6" x14ac:dyDescent="0.25">
      <c r="A7" t="s">
        <v>86</v>
      </c>
      <c r="B7" s="18">
        <v>1050000000</v>
      </c>
      <c r="C7" s="18">
        <v>1075000000</v>
      </c>
      <c r="D7" s="18">
        <v>1128000000</v>
      </c>
      <c r="E7" s="18">
        <v>1260000000</v>
      </c>
      <c r="F7" s="8" t="s">
        <v>87</v>
      </c>
    </row>
    <row r="8" spans="1:6" x14ac:dyDescent="0.25">
      <c r="A8" t="s">
        <v>88</v>
      </c>
      <c r="B8" s="18">
        <v>2112000000</v>
      </c>
      <c r="C8" s="18">
        <v>2064000000</v>
      </c>
      <c r="D8" s="18">
        <v>1852000000</v>
      </c>
      <c r="E8" s="18">
        <v>1484000000</v>
      </c>
      <c r="F8" s="8" t="s">
        <v>89</v>
      </c>
    </row>
    <row r="9" spans="1:6" x14ac:dyDescent="0.25">
      <c r="A9" t="s">
        <v>90</v>
      </c>
      <c r="B9" s="18">
        <v>7208000000</v>
      </c>
      <c r="C9" s="18">
        <v>6234000000</v>
      </c>
      <c r="D9" s="18">
        <v>846000000</v>
      </c>
      <c r="E9" s="18">
        <v>605000000</v>
      </c>
      <c r="F9" s="8" t="s">
        <v>91</v>
      </c>
    </row>
    <row r="10" spans="1:6" x14ac:dyDescent="0.25">
      <c r="A10" t="s">
        <v>92</v>
      </c>
      <c r="B10" s="18">
        <v>45492000000</v>
      </c>
      <c r="C10" s="18">
        <v>44522000000</v>
      </c>
      <c r="D10" s="18">
        <v>42064000000</v>
      </c>
      <c r="E10" s="18">
        <v>39149000000</v>
      </c>
      <c r="F10" s="8" t="s">
        <v>93</v>
      </c>
    </row>
    <row r="11" spans="1:6" x14ac:dyDescent="0.25">
      <c r="A11" t="s">
        <v>94</v>
      </c>
      <c r="B11" s="18">
        <v>15806000000</v>
      </c>
      <c r="C11" s="18">
        <v>14571000000</v>
      </c>
      <c r="D11" s="18">
        <v>13663000000</v>
      </c>
      <c r="E11" s="18">
        <v>11631000000</v>
      </c>
      <c r="F11" s="8" t="s">
        <v>95</v>
      </c>
    </row>
    <row r="12" spans="1:6" x14ac:dyDescent="0.25">
      <c r="A12" t="s">
        <v>32</v>
      </c>
      <c r="B12" s="34">
        <v>4313000000</v>
      </c>
      <c r="C12" s="34">
        <v>4320000000</v>
      </c>
      <c r="D12" s="34">
        <v>4339000000</v>
      </c>
      <c r="E12" s="34">
        <v>4350000000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2026-09-19T01:05:45Z</dcterms:modified>
</cp:coreProperties>
</file>