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<sst xmlns="http://schemas.openxmlformats.org/spreadsheetml/2006/main" count="114" uniqueCount="102">
  <si>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Kotak Mahindra Bank Limited (KOTAKBANK.NS)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</si>
  <si>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</si>
  <si>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</si>
  <si>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</si>
  <si>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</si>
  <si>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</si>
  <si>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</si>
  <si>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</si>
  <si>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</si>
  <si>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</si>
  <si>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</si>
  <si>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</si>
  <si>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</si>
  <si>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</si>
  <si>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</si>
  <si>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</si>
  <si>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</si>
  <si>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</si>
  <si>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</si>
  <si>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</si>
  <si>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</si>
  <si>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</si>
  <si>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32.5% is not a credible funding cost, so risk-free + 2bp is assumed instead. Interest expense and reported debt are measuring different things - common for banks, whose interest expense includes deposits that total debt excludes.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</si>
  <si>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</si>
  <si>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</si>
  <si>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</si>
  <si>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</si>
  <si>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</si>
  <si>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</si>
  <si>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</si>
  <si>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</si>
  <si>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</si>
  <si>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</si>
  <si>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</si>
  <si>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</si>
  <si>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</si>
  <si>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</si>
  <si>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</si>
  <si>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</si>
  <si>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</si>
  <si>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</si>
  <si>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</si>
  <si>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</si>
  <si>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</si>
  <si>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</si>
  <si>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</si>
  <si>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</si>
  <si>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</si>
  <si>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</si>
  <si>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</si>
  <si>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</si>
  <si>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</si>
  <si>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</si>
  <si>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</si>
  <si>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</si>
  <si>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</si>
  <si>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</si>
  <si>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</si>
  <si>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</si>
  <si>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</si>
  <si>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</si>
  <si>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</si>
  <si>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</si>
  <si>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</si>
  <si>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</si>
  <si>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</si>
  <si>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</si>
  <si>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</si>
  <si>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</si>
  <si>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</si>
  <si>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</si>
  <si>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</si>
  <si>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</si>
  <si>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</si>
  <si>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</si>
  <si>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</si>
  <si>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</si>
  <si>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</si>
  <si>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</si>
  <si>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</si>
  <si>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</si>
  <si>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</si>
  <si>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</si>
  <si>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</si>
  <si>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</si>
  <si>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</si>
  <si>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</si>
  <si>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</si>
  <si>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</si>
  <si>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</si>
  <si>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</si>
  <si>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</si>
  <si>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</si>
  <si>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</si>
  <si>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</si>
  <si>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</si>
  <si>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</si>
  <si>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</si>
  <si>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</si>
  <si>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Capital expenditure runs at 1.6% of revenue against depreciation of 1.2%.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</si>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</sst>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0.13483136568379317</v>
      </c>
    </row>
    <row r="7" spans="1:2" x14ac:dyDescent="0.25">
      <c r="A7" t="s">
        <v>5</v>
      </c>
      <c r="B7" s="6">
        <v>0.3614624426386011</v>
      </c>
    </row>
    <row r="8" spans="1:2" x14ac:dyDescent="0.25">
      <c r="A8" t="s">
        <v>6</v>
      </c>
      <c r="B8" s="6">
        <v>0.24717277824229544</v>
      </c>
    </row>
    <row r="9" spans="1:2" x14ac:dyDescent="0.25">
      <c r="A9" t="s">
        <v>7</v>
      </c>
      <c r="B9" s="6">
        <v>0.012229746048538076</v>
      </c>
    </row>
    <row r="10" spans="1:2" x14ac:dyDescent="0.25">
      <c r="A10" t="s">
        <v>8</v>
      </c>
      <c r="B10" s="6">
        <v>0.016280397220640334</v>
      </c>
    </row>
    <row r="11" spans="1:2" x14ac:dyDescent="0.25">
      <c r="A11" t="s">
        <v>9</v>
      </c>
      <c r="B11" s="6">
        <v>0.3483693371235266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14.884620858600107</v>
      </c>
    </row>
    <row r="14" spans="1:3" x14ac:dyDescent="0.25">
      <c r="A14" t="s">
        <v>12</v>
      </c>
      <c r="B14" s="6">
        <v>0.10148459596467885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0.52095</v>
      </c>
      <c r="C19" s="8" t="s">
        <v>19</v>
      </c>
    </row>
    <row r="20" spans="1:2" x14ac:dyDescent="0.25">
      <c r="A20" t="s">
        <v>20</v>
      </c>
      <c r="B20" s="10">
        <f>B17+B19*B18</f>
        <v>0.10967600000000001</v>
      </c>
    </row>
    <row r="21" spans="1:3" x14ac:dyDescent="0.25">
      <c r="A21" t="s">
        <v>21</v>
      </c>
      <c r="B21" s="6">
        <v>0.08800000000000001</v>
      </c>
      <c r="C21" s="8" t="s">
        <v>22</v>
      </c>
    </row>
    <row r="22" spans="1:2" x14ac:dyDescent="0.25">
      <c r="A22" t="s">
        <v>23</v>
      </c>
      <c r="B22" s="11">
        <v>4103408189440</v>
      </c>
    </row>
    <row r="23" spans="1:2" x14ac:dyDescent="0.25">
      <c r="A23" t="s">
        <v>24</v>
      </c>
      <c r="B23" s="11">
        <v>953935315000</v>
      </c>
    </row>
    <row r="24" spans="1:2" x14ac:dyDescent="0.25">
      <c r="A24" t="s">
        <v>25</v>
      </c>
      <c r="B24" s="10">
        <f>B22/(B22+B23)</f>
        <v>0.8113762068638386</v>
      </c>
    </row>
    <row r="25" spans="1:2" x14ac:dyDescent="0.25">
      <c r="A25" t="s">
        <v>26</v>
      </c>
      <c r="B25" s="10">
        <f>1-B24</f>
        <v>0.1886237931361614</v>
      </c>
    </row>
    <row r="26" spans="1:2" x14ac:dyDescent="0.25">
      <c r="A26" t="s">
        <v>27</v>
      </c>
      <c r="B26" s="12">
        <f>B24*B20+B25*B21*(1-B8)</f>
        <v>0.10148459596467885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757885305000</v>
      </c>
      <c r="C29" s="8" t="s">
        <v>30</v>
      </c>
    </row>
    <row r="30" spans="1:2" x14ac:dyDescent="0.25">
      <c r="A30" t="s">
        <v>31</v>
      </c>
      <c r="B30" s="11">
        <v>-80893121000</v>
      </c>
    </row>
    <row r="31" spans="1:2" x14ac:dyDescent="0.25">
      <c r="A31" t="s">
        <v>32</v>
      </c>
      <c r="B31" s="13">
        <v>9945050230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0.13483136568379317</v>
      </c>
      <c r="C5" s="10">
        <f>Assumptions!B6</f>
        <v>0.13483136568379317</v>
      </c>
      <c r="D5" s="10">
        <f>Assumptions!B6</f>
        <v>0.13483136568379317</v>
      </c>
      <c r="E5" s="10">
        <f>Assumptions!B6</f>
        <v>0.13483136568379317</v>
      </c>
      <c r="F5" s="10">
        <f>Assumptions!B6</f>
        <v>0.13483136568379317</v>
      </c>
    </row>
    <row r="6" spans="1:6" x14ac:dyDescent="0.25">
      <c r="A6" t="s">
        <v>43</v>
      </c>
      <c r="B6" s="18">
        <f>Assumptions!B29*(1+B5)</f>
        <v>860072015704.8281</v>
      </c>
      <c r="C6" s="18">
        <f>B6*(1+C5)</f>
        <v>976036700168.7229</v>
      </c>
      <c r="D6" s="18">
        <f>C6*(1+D5)</f>
        <v>1107637061409.9749</v>
      </c>
      <c r="E6" s="18">
        <f>D6*(1+E5)</f>
        <v>1256981279081.8652</v>
      </c>
      <c r="F6" s="18">
        <f>E6*(1+F5)</f>
        <v>1426461781579.4343</v>
      </c>
    </row>
    <row r="7" spans="1:6" x14ac:dyDescent="0.25">
      <c r="A7" t="s">
        <v>5</v>
      </c>
      <c r="B7" s="10">
        <f>Assumptions!B7</f>
        <v>0.3614624426386011</v>
      </c>
      <c r="C7" s="10">
        <f>Assumptions!B7</f>
        <v>0.3614624426386011</v>
      </c>
      <c r="D7" s="10">
        <f>Assumptions!B7</f>
        <v>0.3614624426386011</v>
      </c>
      <c r="E7" s="10">
        <f>Assumptions!B7</f>
        <v>0.3614624426386011</v>
      </c>
      <c r="F7" s="10">
        <f>Assumptions!B7</f>
        <v>0.3614624426386011</v>
      </c>
    </row>
    <row r="8" spans="1:6" x14ac:dyDescent="0.25">
      <c r="A8" t="s">
        <v>44</v>
      </c>
      <c r="B8" s="18">
        <f>B6*B7</f>
        <v>310883731641.77246</v>
      </c>
      <c r="C8" s="18">
        <f>C6*C7</f>
        <v>352800609747.9065</v>
      </c>
      <c r="D8" s="18">
        <f>D6*D7</f>
        <v>400369197774.29175</v>
      </c>
      <c r="E8" s="18">
        <f>E6*E7</f>
        <v>454351523487.9242</v>
      </c>
      <c r="F8" s="18">
        <f>F6*F7</f>
        <v>515612359900.31305</v>
      </c>
    </row>
    <row r="9" spans="1:6" x14ac:dyDescent="0.25">
      <c r="A9" t="s">
        <v>45</v>
      </c>
      <c r="B9" s="18">
        <f>B8*(1-Assumptions!B8)</f>
        <v>234041735981.54333</v>
      </c>
      <c r="C9" s="18">
        <f>C8*(1-Assumptions!B8)</f>
        <v>265597902870.94058</v>
      </c>
      <c r="D9" s="18">
        <f>D8*(1-Assumptions!B8)</f>
        <v>301408830837.781</v>
      </c>
      <c r="E9" s="18">
        <f>E8*(1-Assumptions!B8)</f>
        <v>342048195128.79443</v>
      </c>
      <c r="F9" s="18">
        <f>F8*(1-Assumptions!B8)</f>
        <v>388167020407.68634</v>
      </c>
    </row>
    <row r="10" spans="1:6" x14ac:dyDescent="0.25">
      <c r="A10" t="s">
        <v>46</v>
      </c>
      <c r="B10" s="18">
        <f>B6*Assumptions!B9</f>
        <v>10518462335.5243</v>
      </c>
      <c r="C10" s="18">
        <f>C6*Assumptions!B9</f>
        <v>11936680977.116581</v>
      </c>
      <c r="D10" s="18">
        <f>D6*Assumptions!B9</f>
        <v>13546119974.992966</v>
      </c>
      <c r="E10" s="18">
        <f>E6*Assumptions!B9</f>
        <v>15372561830.937778</v>
      </c>
      <c r="F10" s="18">
        <f>F6*Assumptions!B9</f>
        <v>17445265336.66167</v>
      </c>
    </row>
    <row r="11" spans="1:6" x14ac:dyDescent="0.25">
      <c r="A11" t="s">
        <v>47</v>
      </c>
      <c r="B11" s="18">
        <f>-B6*Assumptions!B10</f>
        <v>-14002314054.031414</v>
      </c>
      <c r="C11" s="18">
        <f>-C6*Assumptions!B10</f>
        <v>-15890265180.66984</v>
      </c>
      <c r="D11" s="18">
        <f>-D6*Assumptions!B10</f>
        <v>-18032771336.057182</v>
      </c>
      <c r="E11" s="18">
        <f>-E6*Assumptions!B10</f>
        <v>-20464154522.361332</v>
      </c>
      <c r="F11" s="18">
        <f>-F6*Assumptions!B10</f>
        <v>-23223364424.175484</v>
      </c>
    </row>
    <row r="12" spans="1:6" x14ac:dyDescent="0.25">
      <c r="A12" t="s">
        <v>48</v>
      </c>
      <c r="B12" s="18">
        <f>-(B6-Assumptions!B29)*Assumptions!B11</f>
        <v>-35598716671.074554</v>
      </c>
      <c r="C12" s="18">
        <f>-(C6-B6)*Assumptions!B11</f>
        <v>-40398540256.42594</v>
      </c>
      <c r="D12" s="18">
        <f>-(D6-C6)*Assumptions!B11</f>
        <v>-45845530610.83158</v>
      </c>
      <c r="E12" s="18">
        <f>-(E6-D6)*Assumptions!B11</f>
        <v>-52026946113.58812</v>
      </c>
      <c r="F12" s="18">
        <f>-(F6-E6)*Assumptions!B11</f>
        <v>-59041810310.44034</v>
      </c>
    </row>
    <row r="13" spans="1:6" x14ac:dyDescent="0.25">
      <c r="A13" s="19" t="s">
        <v>49</v>
      </c>
      <c r="B13" s="20">
        <f>B9+B10+B11+B12</f>
        <v>194959167591.96167</v>
      </c>
      <c r="C13" s="20">
        <f>C9+C10+C11+C12</f>
        <v>221245778410.96143</v>
      </c>
      <c r="D13" s="20">
        <f>D9+D10+D11+D12</f>
        <v>251076648865.88522</v>
      </c>
      <c r="E13" s="20">
        <f>E9+E10+E11+E12</f>
        <v>284929656323.7828</v>
      </c>
      <c r="F13" s="20">
        <f>F9+F10+F11+F12</f>
        <v>323347111009.7322</v>
      </c>
    </row>
    <row r="14" spans="1:6" x14ac:dyDescent="0.25">
      <c r="A14" t="s">
        <v>50</v>
      </c>
      <c r="B14" s="21">
        <f>1/(1+Assumptions!$B$26)^(1-0.5*Assumptions!$B$32)</f>
        <v>0.9528198276494858</v>
      </c>
      <c r="C14" s="21">
        <f>1/(1+Assumptions!$B$26)^(2-0.5*Assumptions!$B$32)</f>
        <v>0.8650323673523617</v>
      </c>
      <c r="D14" s="21">
        <f>1/(1+Assumptions!$B$26)^(3-0.5*Assumptions!$B$32)</f>
        <v>0.7853331499336743</v>
      </c>
      <c r="E14" s="21">
        <f>1/(1+Assumptions!$B$26)^(4-0.5*Assumptions!$B$32)</f>
        <v>0.7129769701825748</v>
      </c>
      <c r="F14" s="21">
        <f>1/(1+Assumptions!$B$26)^(5-0.5*Assumptions!$B$32)</f>
        <v>0.6472872819053365</v>
      </c>
    </row>
    <row r="15" spans="1:6" x14ac:dyDescent="0.25">
      <c r="A15" s="19" t="s">
        <v>51</v>
      </c>
      <c r="B15" s="20">
        <f>B13*B14</f>
        <v>185760960463.66013</v>
      </c>
      <c r="C15" s="20">
        <f>C13*C14</f>
        <v>191384759465.55</v>
      </c>
      <c r="D15" s="20">
        <f>D13*D14</f>
        <v>197178815528.63675</v>
      </c>
      <c r="E15" s="20">
        <f>E13*E14</f>
        <v>203148283080.89294</v>
      </c>
      <c r="F15" s="20">
        <f>F13*F14</f>
        <v>209298472597.43265</v>
      </c>
    </row>
    <row r="17" spans="1:2" x14ac:dyDescent="0.25">
      <c r="A17" s="22" t="s">
        <v>52</v>
      </c>
      <c r="B17" s="23">
        <f>SUM(B15:F15)</f>
        <v>986771291136.1724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323347111009.7322</v>
      </c>
    </row>
    <row r="5" spans="1:2" x14ac:dyDescent="0.25">
      <c r="A5" t="s">
        <v>56</v>
      </c>
      <c r="B5" s="18">
        <f>IF(Assumptions!$B$33=0,B4,B4-Forecast!F11-Forecast!F10-Forecast!F12)</f>
        <v>388167020407.68634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0.24634280466270086</v>
      </c>
    </row>
    <row r="7" spans="1:2" x14ac:dyDescent="0.25">
      <c r="A7" t="s">
        <v>58</v>
      </c>
      <c r="B7" s="18">
        <f>-MAX(Forecast!F9,0)*B6</f>
        <v>-95622152484.79329</v>
      </c>
    </row>
    <row r="8" spans="1:2" x14ac:dyDescent="0.25">
      <c r="A8" t="s">
        <v>59</v>
      </c>
      <c r="B8" s="18">
        <f>IF(OR(Assumptions!$B$33=0,Assumptions!B12&lt;=0),B5,MAX(B5+B7,0))</f>
        <v>292544867922.89307</v>
      </c>
    </row>
    <row r="9" spans="1:2" x14ac:dyDescent="0.25">
      <c r="A9" t="s">
        <v>60</v>
      </c>
      <c r="B9" s="18">
        <f>B8*(1+Assumptions!B12)/(Assumptions!B26-Assumptions!B12)</f>
        <v>3920508251876.525</v>
      </c>
    </row>
    <row r="10" spans="1:2" x14ac:dyDescent="0.25">
      <c r="A10" t="s">
        <v>61</v>
      </c>
      <c r="B10" s="18">
        <f>B9/(1+Assumptions!B26)^(5-0.5*Assumptions!B32)</f>
        <v>2537695130044.598</v>
      </c>
    </row>
    <row r="11" spans="1:2" x14ac:dyDescent="0.25">
      <c r="A11" t="s">
        <v>62</v>
      </c>
      <c r="B11" s="18">
        <f>Forecast!B17+B10</f>
        <v>3524466421180.7705</v>
      </c>
    </row>
    <row r="12" spans="1:2" x14ac:dyDescent="0.25">
      <c r="A12" t="s">
        <v>63</v>
      </c>
      <c r="B12" s="18">
        <f>-Assumptions!B30</f>
        <v>80893121000</v>
      </c>
    </row>
    <row r="13" spans="1:2" x14ac:dyDescent="0.25">
      <c r="A13" t="s">
        <v>64</v>
      </c>
      <c r="B13" s="18">
        <f>B11+B12</f>
        <v>3605359542180.7705</v>
      </c>
    </row>
    <row r="14" spans="1:2" x14ac:dyDescent="0.25">
      <c r="A14" s="19" t="s">
        <v>65</v>
      </c>
      <c r="B14" s="24">
        <f>B13/Assumptions!B31</f>
        <v>362.52803744569627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533057625236.97473</v>
      </c>
    </row>
    <row r="18" spans="1:2" x14ac:dyDescent="0.25">
      <c r="A18" t="s">
        <v>60</v>
      </c>
      <c r="B18" s="18">
        <f>B17*Assumptions!B13</f>
        <v>7934360647438.112</v>
      </c>
    </row>
    <row r="19" spans="1:2" x14ac:dyDescent="0.25">
      <c r="A19" t="s">
        <v>61</v>
      </c>
      <c r="B19" s="18">
        <f>B18/(1+Assumptions!B26)^(5-0.5*Assumptions!B32)</f>
        <v>5135810737136.881</v>
      </c>
    </row>
    <row r="20" spans="1:2" x14ac:dyDescent="0.25">
      <c r="A20" t="s">
        <v>62</v>
      </c>
      <c r="B20" s="18">
        <f>Forecast!B17+B19</f>
        <v>6122582028273.053</v>
      </c>
    </row>
    <row r="21" spans="1:2" x14ac:dyDescent="0.25">
      <c r="A21" t="s">
        <v>63</v>
      </c>
      <c r="B21" s="18">
        <f>-Assumptions!B30</f>
        <v>80893121000</v>
      </c>
    </row>
    <row r="22" spans="1:2" x14ac:dyDescent="0.25">
      <c r="A22" t="s">
        <v>64</v>
      </c>
      <c r="B22" s="18">
        <f>B20+B21</f>
        <v>6203475149273.053</v>
      </c>
    </row>
    <row r="23" spans="1:2" x14ac:dyDescent="0.25">
      <c r="A23" s="19" t="s">
        <v>65</v>
      </c>
      <c r="B23" s="25">
        <f>B22/Assumptions!B31</f>
        <v>623.7751450022644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412.5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362.52803744569627</v>
      </c>
    </row>
    <row r="29" spans="1:2" x14ac:dyDescent="0.25">
      <c r="A29" s="19" t="s">
        <v>73</v>
      </c>
      <c r="B29" s="12">
        <f>B28/B26-1</f>
        <v>-0.12114415164679693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0.081485</v>
      </c>
      <c r="B5" s="31">
        <v>459.9986873603087</v>
      </c>
      <c r="C5" s="31">
        <v>464.41730874164267</v>
      </c>
      <c r="D5" s="31">
        <v>469.3437060205802</v>
      </c>
      <c r="E5" s="31">
        <v>474.9258181786512</v>
      </c>
      <c r="F5" s="31">
        <v>481.37523439918334</v>
      </c>
    </row>
    <row r="6" spans="1:6" x14ac:dyDescent="0.25">
      <c r="A6" s="30">
        <v>0.091485</v>
      </c>
      <c r="B6" s="31">
        <v>401.75189747202126</v>
      </c>
      <c r="C6" s="31">
        <v>403.19053634906317</v>
      </c>
      <c r="D6" s="31">
        <v>404.629175226105</v>
      </c>
      <c r="E6" s="31">
        <v>406.06781410314693</v>
      </c>
      <c r="F6" s="31">
        <v>407.5064529801887</v>
      </c>
    </row>
    <row r="7" spans="1:6" x14ac:dyDescent="0.25">
      <c r="A7" s="30">
        <v>0.101485</v>
      </c>
      <c r="B7" s="31">
        <v>360.0370414526719</v>
      </c>
      <c r="C7" s="31">
        <v>361.28177432291204</v>
      </c>
      <c r="D7" s="32">
        <v>362.52650719315216</v>
      </c>
      <c r="E7" s="31">
        <v>363.7712400633923</v>
      </c>
      <c r="F7" s="31">
        <v>365.01597293363244</v>
      </c>
    </row>
    <row r="8" spans="1:6" x14ac:dyDescent="0.25">
      <c r="A8" s="30">
        <v>0.111485</v>
      </c>
      <c r="B8" s="31">
        <v>325.94399944981865</v>
      </c>
      <c r="C8" s="31">
        <v>327.0319245375581</v>
      </c>
      <c r="D8" s="31">
        <v>328.11984962529743</v>
      </c>
      <c r="E8" s="31">
        <v>329.20777471303694</v>
      </c>
      <c r="F8" s="31">
        <v>330.29569980077633</v>
      </c>
    </row>
    <row r="9" spans="1:6" x14ac:dyDescent="0.25">
      <c r="A9" s="30">
        <v>0.121485</v>
      </c>
      <c r="B9" s="31">
        <v>297.58395551852374</v>
      </c>
      <c r="C9" s="31">
        <v>298.54288879104513</v>
      </c>
      <c r="D9" s="31">
        <v>299.50182206356646</v>
      </c>
      <c r="E9" s="31">
        <v>300.46075533608786</v>
      </c>
      <c r="F9" s="31">
        <v>301.4196886086093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757885305000</v>
      </c>
      <c r="C5" s="18">
        <v>759844581000</v>
      </c>
      <c r="D5" s="18">
        <v>696695998000</v>
      </c>
      <c r="E5" s="18">
        <v>518572514000</v>
      </c>
      <c r="F5" s="8" t="s">
        <v>84</v>
      </c>
    </row>
    <row r="6" spans="1:6" x14ac:dyDescent="0.25">
      <c r="A6" t="s">
        <v>44</v>
      </c>
      <c r="B6" s="18">
        <v>259927227000</v>
      </c>
      <c r="C6" s="18">
        <v>289890249000</v>
      </c>
      <c r="D6" s="18">
        <v>238633794000</v>
      </c>
      <c r="E6" s="18">
        <v>196461863000</v>
      </c>
      <c r="F6" s="8" t="s">
        <v>85</v>
      </c>
    </row>
    <row r="7" spans="1:6" x14ac:dyDescent="0.25">
      <c r="A7" t="s">
        <v>86</v>
      </c>
      <c r="B7" s="18">
        <v>10319164000</v>
      </c>
      <c r="C7" s="18">
        <v>9409087000</v>
      </c>
      <c r="D7" s="18">
        <v>7917534000</v>
      </c>
      <c r="E7" s="18">
        <v>5992592000</v>
      </c>
      <c r="F7" s="8" t="s">
        <v>87</v>
      </c>
    </row>
    <row r="8" spans="1:6" x14ac:dyDescent="0.25">
      <c r="A8" t="s">
        <v>88</v>
      </c>
      <c r="B8" s="18">
        <v>10579681000</v>
      </c>
      <c r="C8" s="18">
        <v>12128454000</v>
      </c>
      <c r="D8" s="18">
        <v>11266882000</v>
      </c>
      <c r="E8" s="18">
        <v>9867647000</v>
      </c>
      <c r="F8" s="8" t="s">
        <v>89</v>
      </c>
    </row>
    <row r="9" spans="1:6" x14ac:dyDescent="0.25">
      <c r="A9" t="s">
        <v>90</v>
      </c>
      <c r="B9" s="18">
        <v>-179735208000</v>
      </c>
      <c r="C9" s="18">
        <v>21999030000</v>
      </c>
      <c r="D9" s="18">
        <v>-22031089000</v>
      </c>
      <c r="E9" s="18">
        <v>182755732000</v>
      </c>
      <c r="F9" s="8" t="s">
        <v>91</v>
      </c>
    </row>
    <row r="10" spans="1:6" x14ac:dyDescent="0.25">
      <c r="A10" t="s">
        <v>92</v>
      </c>
      <c r="B10" s="18">
        <v>953935315000</v>
      </c>
      <c r="C10" s="18">
        <v>867510344000</v>
      </c>
      <c r="D10" s="18">
        <v>751056062000</v>
      </c>
      <c r="E10" s="18">
        <v>523339234000</v>
      </c>
      <c r="F10" s="8" t="s">
        <v>93</v>
      </c>
    </row>
    <row r="11" spans="1:6" x14ac:dyDescent="0.25">
      <c r="A11" t="s">
        <v>94</v>
      </c>
      <c r="B11" s="18">
        <v>1034828436000</v>
      </c>
      <c r="C11" s="18">
        <v>811127235000</v>
      </c>
      <c r="D11" s="18">
        <v>684602374000</v>
      </c>
      <c r="E11" s="18">
        <v>474698271000</v>
      </c>
      <c r="F11" s="8" t="s">
        <v>95</v>
      </c>
    </row>
    <row r="12" spans="1:6" x14ac:dyDescent="0.25">
      <c r="A12" t="s">
        <v>32</v>
      </c>
      <c r="B12" s="34">
        <v>9945050230</v>
      </c>
      <c r="C12" s="34">
        <v>9940692575</v>
      </c>
      <c r="D12" s="34">
        <v>9937382900</v>
      </c>
      <c r="E12" s="34">
        <v>9930844220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2026-09-19T00:11:15Z</dcterms:modified>
</cp:coreProperties>
</file>