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<sst xmlns="http://schemas.openxmlformats.org/spreadsheetml/2006/main" count="119" uniqueCount="106">
  <si>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Kroger Co. (KR)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</si>
  <si>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</si>
  <si>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</si>
  <si>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</si>
  <si>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</si>
  <si>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</si>
  <si>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</si>
  <si>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</si>
  <si>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</si>
  <si>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</si>
  <si>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</si>
  <si>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</si>
  <si>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</si>
  <si>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</si>
  <si>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</si>
  <si>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</si>
  <si>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</si>
  <si>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</si>
  <si>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</si>
  <si>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</si>
  <si>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</si>
  <si>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</si>
  <si>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</si>
  <si>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</si>
  <si>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3.0x interest cover. Book interest / average debt was lower, at 2.6%.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</si>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</sst>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0.021176803687297685</v>
      </c>
    </row>
    <row r="7" spans="1:2" x14ac:dyDescent="0.25">
      <c r="A7" t="s">
        <v>4</v>
      </c>
      <c r="B7" s="5">
        <v>0.021856879392336197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0.02546158628010463</v>
      </c>
    </row>
    <row r="10" spans="1:3" x14ac:dyDescent="0.25">
      <c r="A10" t="s">
        <v>7</v>
      </c>
      <c r="B10" s="5">
        <v>0.025048787044664518</v>
      </c>
      <c r="C10" s="6" t="s">
        <v>8</v>
      </c>
    </row>
    <row r="11" spans="1:2" x14ac:dyDescent="0.25">
      <c r="A11" t="s">
        <v>9</v>
      </c>
      <c r="B11" s="5">
        <v>-0.006827090803335526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10.248141615146299</v>
      </c>
    </row>
    <row r="14" spans="1:3" x14ac:dyDescent="0.25">
      <c r="A14" t="s">
        <v>12</v>
      </c>
      <c r="B14" s="5">
        <v>0.11893226862560083</v>
      </c>
      <c r="C14" s="6" t="s">
        <v>13</v>
      </c>
    </row>
    <row r="15" spans="1:3" x14ac:dyDescent="0.25">
      <c r="A15" t="s">
        <v>14</v>
      </c>
      <c r="B15" s="5">
        <v>0.02546158628010463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0.56651</v>
      </c>
      <c r="C19" s="6" t="s">
        <v>21</v>
      </c>
    </row>
    <row r="20" spans="1:2" x14ac:dyDescent="0.25">
      <c r="A20" t="s">
        <v>22</v>
      </c>
      <c r="B20" s="9">
        <f>B17+B19*B18</f>
        <v>0.072903373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39427702784</v>
      </c>
    </row>
    <row r="23" spans="1:2" x14ac:dyDescent="0.25">
      <c r="A23" t="s">
        <v>26</v>
      </c>
      <c r="B23" s="10">
        <v>24692000000</v>
      </c>
    </row>
    <row r="24" spans="1:2" x14ac:dyDescent="0.25">
      <c r="A24" t="s">
        <v>27</v>
      </c>
      <c r="B24" s="9">
        <f>B22/(B22+B23)</f>
        <v>0.6149077595824185</v>
      </c>
    </row>
    <row r="25" spans="1:2" x14ac:dyDescent="0.25">
      <c r="A25" t="s">
        <v>28</v>
      </c>
      <c r="B25" s="9">
        <f>1-B24</f>
        <v>0.3850922404175815</v>
      </c>
    </row>
    <row r="26" spans="1:2" x14ac:dyDescent="0.25">
      <c r="A26" t="s">
        <v>29</v>
      </c>
      <c r="B26" s="11">
        <f>B24*B20+B25*B21*(1-B8)</f>
        <v>0.06309439086802193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147642000000</v>
      </c>
      <c r="C29" s="6" t="s">
        <v>32</v>
      </c>
    </row>
    <row r="30" spans="1:2" x14ac:dyDescent="0.25">
      <c r="A30" t="s">
        <v>33</v>
      </c>
      <c r="B30" s="10">
        <v>20114000000</v>
      </c>
    </row>
    <row r="31" spans="1:2" x14ac:dyDescent="0.25">
      <c r="A31" t="s">
        <v>34</v>
      </c>
      <c r="B31" s="12">
        <v>655000000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0.021176803687297685</v>
      </c>
      <c r="C5" s="5">
        <v>0.015876485208641267</v>
      </c>
      <c r="D5" s="5">
        <v>0.017016924557561108</v>
      </c>
      <c r="E5" s="5">
        <v>0.01815736390648095</v>
      </c>
      <c r="F5" s="5">
        <v>0.019297803255400793</v>
      </c>
      <c r="G5" s="5">
        <v>0.020438242604320634</v>
      </c>
      <c r="H5" s="5">
        <v>0.021578681953240475</v>
      </c>
      <c r="I5" s="5">
        <v>0.02271912130216032</v>
      </c>
      <c r="J5" s="5">
        <v>0.02385956065108016</v>
      </c>
      <c r="K5" s="5">
        <v>0.025</v>
      </c>
    </row>
    <row r="6" spans="1:11" x14ac:dyDescent="0.25">
      <c r="A6" t="s">
        <v>50</v>
      </c>
      <c r="B6" s="18">
        <f>Assumptions!B29*(1+B5)</f>
        <v>150768585650</v>
      </c>
      <c r="C6" s="18">
        <f>B6*(1+C5)</f>
        <v>153162260870</v>
      </c>
      <c r="D6" s="18">
        <f>C6*(1+D5)</f>
        <v>155768611508.29028</v>
      </c>
      <c r="E6" s="18">
        <f>D6*(1+E5)</f>
        <v>158596958872.65356</v>
      </c>
      <c r="F6" s="18">
        <f>E6*(1+F5)</f>
        <v>161657531781.8829</v>
      </c>
      <c r="G6" s="18">
        <f>F6*(1+G5)</f>
        <v>164961527635.25668</v>
      </c>
      <c r="H6" s="18">
        <f>G6*(1+H5)</f>
        <v>168521179974.61856</v>
      </c>
      <c r="I6" s="18">
        <f>H6*(1+I5)</f>
        <v>172349833104.4451</v>
      </c>
      <c r="J6" s="18">
        <f>I6*(1+J5)</f>
        <v>176462024400.60413</v>
      </c>
      <c r="K6" s="18">
        <f>J6*(1+K5)</f>
        <v>180873575010.6192</v>
      </c>
    </row>
    <row r="7" spans="1:11" x14ac:dyDescent="0.25">
      <c r="A7" t="s">
        <v>4</v>
      </c>
      <c r="B7" s="9">
        <f>Assumptions!B7</f>
        <v>0.021856879392336197</v>
      </c>
      <c r="C7" s="9">
        <f>Assumptions!B7</f>
        <v>0.021856879392336197</v>
      </c>
      <c r="D7" s="9">
        <f>Assumptions!B7</f>
        <v>0.021856879392336197</v>
      </c>
      <c r="E7" s="9">
        <f>Assumptions!B7</f>
        <v>0.021856879392336197</v>
      </c>
      <c r="F7" s="9">
        <f>Assumptions!B7</f>
        <v>0.021856879392336197</v>
      </c>
      <c r="G7" s="9">
        <f>Assumptions!B7</f>
        <v>0.021856879392336197</v>
      </c>
      <c r="H7" s="9">
        <f>Assumptions!B7</f>
        <v>0.021856879392336197</v>
      </c>
      <c r="I7" s="9">
        <f>Assumptions!B7</f>
        <v>0.021856879392336197</v>
      </c>
      <c r="J7" s="9">
        <f>Assumptions!B7</f>
        <v>0.021856879392336197</v>
      </c>
      <c r="K7" s="9">
        <f>Assumptions!B7</f>
        <v>0.021856879392336197</v>
      </c>
    </row>
    <row r="8" spans="1:11" x14ac:dyDescent="0.25">
      <c r="A8" t="s">
        <v>51</v>
      </c>
      <c r="B8" s="18">
        <f>B6*B7</f>
        <v>3295330792.70516</v>
      </c>
      <c r="C8" s="18">
        <f>C6*C7</f>
        <v>3347649063.2931237</v>
      </c>
      <c r="D8" s="18">
        <f>D6*D7</f>
        <v>3404615754.848373</v>
      </c>
      <c r="E8" s="18">
        <f>E6*E7</f>
        <v>3466434602.0708933</v>
      </c>
      <c r="F8" s="18">
        <f>F6*F7</f>
        <v>3533329175.0193706</v>
      </c>
      <c r="G8" s="18">
        <f>G6*G7</f>
        <v>3605544213.89934</v>
      </c>
      <c r="H8" s="18">
        <f>H6*H7</f>
        <v>3683347105.75942</v>
      </c>
      <c r="I8" s="18">
        <f>I6*I7</f>
        <v>3767029515.453129</v>
      </c>
      <c r="J8" s="18">
        <f>J6*J7</f>
        <v>3856909184.6514916</v>
      </c>
      <c r="K8" s="18">
        <f>K6*K7</f>
        <v>3953331914.2677784</v>
      </c>
    </row>
    <row r="9" spans="1:11" x14ac:dyDescent="0.25">
      <c r="A9" t="s">
        <v>52</v>
      </c>
      <c r="B9" s="18">
        <f>B8*(1-Assumptions!B8)</f>
        <v>2603311326.2370768</v>
      </c>
      <c r="C9" s="18">
        <f>C8*(1-Assumptions!B8)</f>
        <v>2644642760.001568</v>
      </c>
      <c r="D9" s="18">
        <f>D8*(1-Assumptions!B8)</f>
        <v>2689646446.330215</v>
      </c>
      <c r="E9" s="18">
        <f>E8*(1-Assumptions!B8)</f>
        <v>2738483335.636006</v>
      </c>
      <c r="F9" s="18">
        <f>F8*(1-Assumptions!B8)</f>
        <v>2791330048.2653027</v>
      </c>
      <c r="G9" s="18">
        <f>G8*(1-Assumptions!B8)</f>
        <v>2848379928.980479</v>
      </c>
      <c r="H9" s="18">
        <f>H8*(1-Assumptions!B8)</f>
        <v>2909844213.549942</v>
      </c>
      <c r="I9" s="18">
        <f>I8*(1-Assumptions!B8)</f>
        <v>2975953317.207972</v>
      </c>
      <c r="J9" s="18">
        <f>J8*(1-Assumptions!B8)</f>
        <v>3046958255.8746786</v>
      </c>
      <c r="K9" s="18">
        <f>K8*(1-Assumptions!B8)</f>
        <v>3123132212.271545</v>
      </c>
    </row>
    <row r="10" spans="1:11" x14ac:dyDescent="0.25">
      <c r="A10" t="s">
        <v>53</v>
      </c>
      <c r="B10" s="18">
        <f>B6*Assumptions!B9</f>
        <v>3838807351.8568196</v>
      </c>
      <c r="C10" s="18">
        <f>C6*Assumptions!B9</f>
        <v>3899754119.997398</v>
      </c>
      <c r="D10" s="18">
        <f>D6*Assumptions!B9</f>
        <v>3966115941.6504316</v>
      </c>
      <c r="E10" s="18">
        <f>E6*Assumptions!B9</f>
        <v>4038130152.098274</v>
      </c>
      <c r="F10" s="18">
        <f>F6*Assumptions!B9</f>
        <v>4116057193.2931676</v>
      </c>
      <c r="G10" s="18">
        <f>G6*Assumptions!B9</f>
        <v>4200182168.782952</v>
      </c>
      <c r="H10" s="18">
        <f>H6*Assumptions!B9</f>
        <v>4290816563.9487906</v>
      </c>
      <c r="I10" s="18">
        <f>I6*Assumptions!B9</f>
        <v>4388300145.950461</v>
      </c>
      <c r="J10" s="18">
        <f>J6*Assumptions!B9</f>
        <v>4493003059.43791</v>
      </c>
      <c r="K10" s="18">
        <f>K6*Assumptions!B9</f>
        <v>4605328135.923858</v>
      </c>
    </row>
    <row r="11" spans="1:11" x14ac:dyDescent="0.25">
      <c r="A11" t="s">
        <v>54</v>
      </c>
      <c r="B11" s="18">
        <f>-B6*B19</f>
        <v>-3776570194.9721127</v>
      </c>
      <c r="C11" s="18">
        <f>-C6*C19</f>
        <v>-3905322066.1128335</v>
      </c>
      <c r="D11" s="18">
        <f>-D6*D19</f>
        <v>-4041742496.2554665</v>
      </c>
      <c r="E11" s="18">
        <f>-E6*E19</f>
        <v>-4186364103.9981403</v>
      </c>
      <c r="F11" s="18">
        <f>-F6*F19</f>
        <v>-4339760617.186601</v>
      </c>
      <c r="G11" s="18">
        <f>-G6*G19</f>
        <v>-4502550577.832149</v>
      </c>
      <c r="H11" s="18">
        <f>-H6*H19</f>
        <v>-4675401391.73552</v>
      </c>
      <c r="I11" s="18">
        <f>-I6*I19</f>
        <v>-4859033759.169637</v>
      </c>
      <c r="J11" s="18">
        <f>-J6*J19</f>
        <v>-5054226526.876628</v>
      </c>
      <c r="K11" s="18">
        <f>-K6*K19</f>
        <v>-5261822005.998591</v>
      </c>
    </row>
    <row r="12" spans="1:11" x14ac:dyDescent="0.25">
      <c r="A12" t="s">
        <v>55</v>
      </c>
      <c r="B12" s="18">
        <f>-(B6-Assumptions!B29)*Assumptions!B11</f>
        <v>21345484.136955827</v>
      </c>
      <c r="C12" s="18">
        <f>-(C6-B6)*Assumptions!B11</f>
        <v>16341838.080634141</v>
      </c>
      <c r="D12" s="18">
        <f>-(D6-C6)*Assumptions!B11</f>
        <v>17793792.47293927</v>
      </c>
      <c r="E12" s="18">
        <f>-(E6-D6)*Assumptions!B11</f>
        <v>19309384.27988283</v>
      </c>
      <c r="F12" s="18">
        <f>-(F6-E6)*Assumptions!B11</f>
        <v>20894809.16153748</v>
      </c>
      <c r="G12" s="18">
        <f>-(G6-F6)*Assumptions!B11</f>
        <v>22556679.70482684</v>
      </c>
      <c r="H12" s="18">
        <f>-(H6-G6)*Assumptions!B11</f>
        <v>24302069.74912926</v>
      </c>
      <c r="I12" s="18">
        <f>-(I6-H6)*Assumptions!B11</f>
        <v>26138562.571800534</v>
      </c>
      <c r="J12" s="18">
        <f>-(J6-I6)*Assumptions!B11</f>
        <v>28074303.37956369</v>
      </c>
      <c r="K12" s="18">
        <f>-(K6-J6)*Assumptions!B11</f>
        <v>30118056.598083153</v>
      </c>
    </row>
    <row r="13" spans="1:11" x14ac:dyDescent="0.25">
      <c r="A13" s="19" t="s">
        <v>56</v>
      </c>
      <c r="B13" s="20">
        <f>B9+B10+B11+B12</f>
        <v>2686893967.25874</v>
      </c>
      <c r="C13" s="20">
        <f>C9+C10+C11+C12</f>
        <v>2655416651.966767</v>
      </c>
      <c r="D13" s="20">
        <f>D9+D10+D11+D12</f>
        <v>2631813684.198119</v>
      </c>
      <c r="E13" s="20">
        <f>E9+E10+E11+E12</f>
        <v>2609558768.016022</v>
      </c>
      <c r="F13" s="20">
        <f>F9+F10+F11+F12</f>
        <v>2588521433.5334067</v>
      </c>
      <c r="G13" s="20">
        <f>G9+G10+G11+G12</f>
        <v>2568568199.636109</v>
      </c>
      <c r="H13" s="20">
        <f>H9+H10+H11+H12</f>
        <v>2549561455.5123415</v>
      </c>
      <c r="I13" s="20">
        <f>I9+I10+I11+I12</f>
        <v>2531358266.560598</v>
      </c>
      <c r="J13" s="20">
        <f>J9+J10+J11+J12</f>
        <v>2513809091.8155246</v>
      </c>
      <c r="K13" s="20">
        <f>K9+K10+K11+K12</f>
        <v>2496756398.7948937</v>
      </c>
    </row>
    <row r="14" spans="1:11" x14ac:dyDescent="0.25">
      <c r="A14" t="s">
        <v>57</v>
      </c>
      <c r="B14" s="21">
        <f>1/(1+Assumptions!$B$26)^(1-0.5*Assumptions!$B$32)</f>
        <v>0.9698712521391997</v>
      </c>
      <c r="C14" s="21">
        <f>1/(1+Assumptions!$B$26)^(2-0.5*Assumptions!$B$32)</f>
        <v>0.912309631647379</v>
      </c>
      <c r="D14" s="21">
        <f>1/(1+Assumptions!$B$26)^(3-0.5*Assumptions!$B$32)</f>
        <v>0.8581642791873574</v>
      </c>
      <c r="E14" s="21">
        <f>1/(1+Assumptions!$B$26)^(4-0.5*Assumptions!$B$32)</f>
        <v>0.8072324400909142</v>
      </c>
      <c r="F14" s="21">
        <f>1/(1+Assumptions!$B$26)^(5-0.5*Assumptions!$B$32)</f>
        <v>0.7593233931295649</v>
      </c>
      <c r="G14" s="21">
        <f>1/(1+Assumptions!$B$26)^(6-0.5*Assumptions!$B$32)</f>
        <v>0.71425773633287</v>
      </c>
      <c r="H14" s="21">
        <f>1/(1+Assumptions!$B$26)^(7-0.5*Assumptions!$B$32)</f>
        <v>0.671866715193253</v>
      </c>
      <c r="I14" s="21">
        <f>1/(1+Assumptions!$B$26)^(8-0.5*Assumptions!$B$32)</f>
        <v>0.6319915907416936</v>
      </c>
      <c r="J14" s="21">
        <f>1/(1+Assumptions!$B$26)^(9-0.5*Assumptions!$B$32)</f>
        <v>0.5944830451279771</v>
      </c>
      <c r="K14" s="21">
        <f>1/(1+Assumptions!$B$26)^(10-0.5*Assumptions!$B$32)</f>
        <v>0.5592006224796077</v>
      </c>
    </row>
    <row r="15" spans="1:11" x14ac:dyDescent="0.25">
      <c r="A15" s="19" t="s">
        <v>58</v>
      </c>
      <c r="B15" s="20">
        <f>B13*B14</f>
        <v>2605941216.390496</v>
      </c>
      <c r="C15" s="20">
        <f>C13*C14</f>
        <v>2422562187.626117</v>
      </c>
      <c r="D15" s="20">
        <f>D13*D14</f>
        <v>2258528493.2553024</v>
      </c>
      <c r="E15" s="20">
        <f>E13*E14</f>
        <v>2106520491.8662136</v>
      </c>
      <c r="F15" s="20">
        <f>F13*F14</f>
        <v>1965524878.099192</v>
      </c>
      <c r="G15" s="20">
        <f>G13*G14</f>
        <v>1834619707.8886826</v>
      </c>
      <c r="H15" s="20">
        <f>H13*H14</f>
        <v>1712965480.298406</v>
      </c>
      <c r="I15" s="20">
        <f>I13*I14</f>
        <v>1599797137.6207685</v>
      </c>
      <c r="J15" s="20">
        <f>J13*J14</f>
        <v>1494416883.7728877</v>
      </c>
      <c r="K15" s="20">
        <f>K13*K14</f>
        <v>1396187732.386048</v>
      </c>
    </row>
    <row r="17" spans="1:2" x14ac:dyDescent="0.25">
      <c r="A17" s="22" t="s">
        <v>59</v>
      </c>
      <c r="B17" s="23">
        <f>SUM(B15:K15)</f>
        <v>19397064209.204113</v>
      </c>
    </row>
    <row r="19" spans="1:11" x14ac:dyDescent="0.25">
      <c r="A19" t="s">
        <v>7</v>
      </c>
      <c r="B19" s="9">
        <f>Assumptions!$B$10+($B$20-Assumptions!$B$10)*0/9</f>
        <v>0.025048787044664518</v>
      </c>
      <c r="C19" s="9">
        <f>Assumptions!$B$10+($B$20-Assumptions!$B$10)*1/9</f>
        <v>0.025497939531119652</v>
      </c>
      <c r="D19" s="9">
        <f>Assumptions!$B$10+($B$20-Assumptions!$B$10)*2/9</f>
        <v>0.025947092017574783</v>
      </c>
      <c r="E19" s="9">
        <f>Assumptions!$B$10+($B$20-Assumptions!$B$10)*3/9</f>
        <v>0.026396244504029918</v>
      </c>
      <c r="F19" s="9">
        <f>Assumptions!$B$10+($B$20-Assumptions!$B$10)*4/9</f>
        <v>0.02684539699048505</v>
      </c>
      <c r="G19" s="9">
        <f>Assumptions!$B$10+($B$20-Assumptions!$B$10)*5/9</f>
        <v>0.027294549476940183</v>
      </c>
      <c r="H19" s="9">
        <f>Assumptions!$B$10+($B$20-Assumptions!$B$10)*6/9</f>
        <v>0.027743701963395314</v>
      </c>
      <c r="I19" s="9">
        <f>Assumptions!$B$10+($B$20-Assumptions!$B$10)*7/9</f>
        <v>0.02819285444985045</v>
      </c>
      <c r="J19" s="9">
        <f>Assumptions!$B$10+($B$20-Assumptions!$B$10)*8/9</f>
        <v>0.02864200693630558</v>
      </c>
      <c r="K19" s="9">
        <f>Assumptions!$B$10+($B$20-Assumptions!$B$10)*9/9</f>
        <v>0.029091159422760714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0.029091159422760714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2496756398.7948937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3123132212.271545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0.2102036754944958</v>
      </c>
    </row>
    <row r="7" spans="1:2" x14ac:dyDescent="0.25">
      <c r="A7" t="s">
        <v>66</v>
      </c>
      <c r="B7" s="18">
        <f>-MAX(B5,0)*B6</f>
        <v>-656493870.0747347</v>
      </c>
    </row>
    <row r="8" spans="1:2" x14ac:dyDescent="0.25">
      <c r="A8" t="s">
        <v>67</v>
      </c>
      <c r="B8" s="18">
        <f>IF(OR(Assumptions!$B$33=0,Assumptions!B12&lt;=0),B5,MAX(B5+B7,0))</f>
        <v>2466638342.1968102</v>
      </c>
    </row>
    <row r="9" spans="1:2" x14ac:dyDescent="0.25">
      <c r="A9" t="s">
        <v>68</v>
      </c>
      <c r="B9" s="18">
        <f>B8*(1+Assumptions!B12)/(Assumptions!B26-Assumptions!B12)</f>
        <v>66369463932.65728</v>
      </c>
    </row>
    <row r="10" spans="1:2" x14ac:dyDescent="0.25">
      <c r="A10" t="s">
        <v>69</v>
      </c>
      <c r="B10" s="18">
        <f>B9/(1+Assumptions!B26)^(10-0.5*Assumptions!B32)</f>
        <v>37113845544.77982</v>
      </c>
    </row>
    <row r="11" spans="1:2" x14ac:dyDescent="0.25">
      <c r="A11" t="s">
        <v>70</v>
      </c>
      <c r="B11" s="18">
        <f>Forecast!B17+B10</f>
        <v>56510909753.98393</v>
      </c>
    </row>
    <row r="12" spans="1:2" x14ac:dyDescent="0.25">
      <c r="A12" t="s">
        <v>71</v>
      </c>
      <c r="B12" s="18">
        <f>-Assumptions!B30</f>
        <v>-20114000000</v>
      </c>
    </row>
    <row r="13" spans="1:2" x14ac:dyDescent="0.25">
      <c r="A13" t="s">
        <v>72</v>
      </c>
      <c r="B13" s="18">
        <f>B11+B12</f>
        <v>36396909753.98393</v>
      </c>
    </row>
    <row r="14" spans="1:2" x14ac:dyDescent="0.25">
      <c r="A14" s="19" t="s">
        <v>73</v>
      </c>
      <c r="B14" s="24">
        <f>B13/Assumptions!B31</f>
        <v>55.567801151120506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8558660050.191636</v>
      </c>
    </row>
    <row r="18" spans="1:2" x14ac:dyDescent="0.25">
      <c r="A18" t="s">
        <v>68</v>
      </c>
      <c r="B18" s="18">
        <f>B17*Assumptions!B13</f>
        <v>87710360230.25902</v>
      </c>
    </row>
    <row r="19" spans="1:2" x14ac:dyDescent="0.25">
      <c r="A19" t="s">
        <v>69</v>
      </c>
      <c r="B19" s="18">
        <f>B18/(1+Assumptions!B26)^(10-0.5*Assumptions!B32)</f>
        <v>49047688038.67147</v>
      </c>
    </row>
    <row r="20" spans="1:2" x14ac:dyDescent="0.25">
      <c r="A20" t="s">
        <v>70</v>
      </c>
      <c r="B20" s="18">
        <f>Forecast!B17+B19</f>
        <v>68444752247.87558</v>
      </c>
    </row>
    <row r="21" spans="1:2" x14ac:dyDescent="0.25">
      <c r="A21" t="s">
        <v>71</v>
      </c>
      <c r="B21" s="18">
        <f>-Assumptions!B30</f>
        <v>-20114000000</v>
      </c>
    </row>
    <row r="22" spans="1:2" x14ac:dyDescent="0.25">
      <c r="A22" t="s">
        <v>72</v>
      </c>
      <c r="B22" s="18">
        <f>B20+B21</f>
        <v>48330752247.87558</v>
      </c>
    </row>
    <row r="23" spans="1:2" x14ac:dyDescent="0.25">
      <c r="A23" s="19" t="s">
        <v>73</v>
      </c>
      <c r="B23" s="25">
        <f>B22/Assumptions!B31</f>
        <v>73.78740801202379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66.76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55.567801151120506</v>
      </c>
    </row>
    <row r="29" spans="1:2" x14ac:dyDescent="0.25">
      <c r="A29" s="19" t="s">
        <v>81</v>
      </c>
      <c r="B29" s="11">
        <f>B28/B26-1</f>
        <v>-0.1676482751479853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0.043094</v>
      </c>
      <c r="B5" s="31">
        <v>103.79709158931489</v>
      </c>
      <c r="C5" s="31">
        <v>119.59345838604851</v>
      </c>
      <c r="D5" s="31">
        <v>144.43696189337155</v>
      </c>
      <c r="E5" s="31">
        <v>188.691665854895</v>
      </c>
      <c r="F5" s="31">
        <v>288.3308846779583</v>
      </c>
    </row>
    <row r="6" spans="1:6" x14ac:dyDescent="0.25">
      <c r="A6" s="30">
        <v>0.053094</v>
      </c>
      <c r="B6" s="31">
        <v>69.42747244790539</v>
      </c>
      <c r="C6" s="31">
        <v>75.6302464713393</v>
      </c>
      <c r="D6" s="31">
        <v>84.23355348127588</v>
      </c>
      <c r="E6" s="31">
        <v>96.7965861163892</v>
      </c>
      <c r="F6" s="31">
        <v>116.60197311425257</v>
      </c>
    </row>
    <row r="7" spans="1:6" x14ac:dyDescent="0.25">
      <c r="A7" s="30">
        <v>0.063094</v>
      </c>
      <c r="B7" s="31">
        <v>49.327289943000665</v>
      </c>
      <c r="C7" s="31">
        <v>52.02655610012137</v>
      </c>
      <c r="D7" s="32">
        <v>55.56862872731286</v>
      </c>
      <c r="E7" s="31">
        <v>60.33551353712307</v>
      </c>
      <c r="F7" s="31">
        <v>66.98116449620969</v>
      </c>
    </row>
    <row r="8" spans="1:6" x14ac:dyDescent="0.25">
      <c r="A8" s="30">
        <v>0.073094</v>
      </c>
      <c r="B8" s="31">
        <v>36.12920067504367</v>
      </c>
      <c r="C8" s="31">
        <v>37.281250431020396</v>
      </c>
      <c r="D8" s="31">
        <v>38.77336283737101</v>
      </c>
      <c r="E8" s="31">
        <v>40.72390564263611</v>
      </c>
      <c r="F8" s="31">
        <v>43.31339168305544</v>
      </c>
    </row>
    <row r="9" spans="1:6" x14ac:dyDescent="0.25">
      <c r="A9" s="30">
        <v>0.083094</v>
      </c>
      <c r="B9" s="31">
        <v>26.793494346550034</v>
      </c>
      <c r="C9" s="31">
        <v>27.184413436038906</v>
      </c>
      <c r="D9" s="31">
        <v>27.72137390556841</v>
      </c>
      <c r="E9" s="31">
        <v>28.445635044335262</v>
      </c>
      <c r="F9" s="31">
        <v>29.41561391140211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147642000000</v>
      </c>
      <c r="C5" s="18">
        <v>147123000000</v>
      </c>
      <c r="D5" s="18">
        <v>150039000000</v>
      </c>
      <c r="E5" s="18">
        <v>148258000000</v>
      </c>
      <c r="F5" s="6" t="s">
        <v>91</v>
      </c>
    </row>
    <row r="6" spans="1:6" x14ac:dyDescent="0.25">
      <c r="A6" t="s">
        <v>51</v>
      </c>
      <c r="B6" s="18">
        <v>1890000000</v>
      </c>
      <c r="C6" s="18">
        <v>3849000000</v>
      </c>
      <c r="D6" s="18">
        <v>3096000000</v>
      </c>
      <c r="E6" s="18">
        <v>4126000000</v>
      </c>
      <c r="F6" s="6" t="s">
        <v>92</v>
      </c>
    </row>
    <row r="7" spans="1:6" x14ac:dyDescent="0.25">
      <c r="A7" t="s">
        <v>93</v>
      </c>
      <c r="B7" s="18">
        <v>3920000000</v>
      </c>
      <c r="C7" s="18">
        <v>3849000000</v>
      </c>
      <c r="D7" s="18">
        <v>3750000000</v>
      </c>
      <c r="E7" s="18">
        <v>3579000000</v>
      </c>
      <c r="F7" s="6" t="s">
        <v>94</v>
      </c>
    </row>
    <row r="8" spans="1:6" x14ac:dyDescent="0.25">
      <c r="A8" t="s">
        <v>95</v>
      </c>
      <c r="B8" s="18">
        <v>3855000000</v>
      </c>
      <c r="C8" s="18">
        <v>4017000000</v>
      </c>
      <c r="D8" s="18">
        <v>3904000000</v>
      </c>
      <c r="E8" s="18">
        <v>3078000000</v>
      </c>
      <c r="F8" s="6" t="s">
        <v>96</v>
      </c>
    </row>
    <row r="9" spans="1:6" x14ac:dyDescent="0.25">
      <c r="A9" t="s">
        <v>97</v>
      </c>
      <c r="B9" s="18">
        <v>330000000</v>
      </c>
      <c r="C9" s="18">
        <v>1012000000</v>
      </c>
      <c r="D9" s="18">
        <v>-808000000</v>
      </c>
      <c r="E9" s="18">
        <v>3193000000</v>
      </c>
      <c r="F9" s="6" t="s">
        <v>98</v>
      </c>
    </row>
    <row r="10" spans="1:6" x14ac:dyDescent="0.25">
      <c r="A10" t="s">
        <v>99</v>
      </c>
      <c r="B10" s="18">
        <v>24692000000</v>
      </c>
      <c r="C10" s="18">
        <v>25082000000</v>
      </c>
      <c r="D10" s="18">
        <v>19247000000</v>
      </c>
      <c r="E10" s="18">
        <v>20412000000</v>
      </c>
      <c r="F10" s="6" t="s">
        <v>100</v>
      </c>
    </row>
    <row r="11" spans="1:6" x14ac:dyDescent="0.25">
      <c r="A11" t="s">
        <v>101</v>
      </c>
      <c r="B11" s="18">
        <v>4578000000</v>
      </c>
      <c r="C11" s="18">
        <v>5271000000</v>
      </c>
      <c r="D11" s="18">
        <v>3098000000</v>
      </c>
      <c r="E11" s="18">
        <v>2142000000</v>
      </c>
      <c r="F11" s="6" t="s">
        <v>102</v>
      </c>
    </row>
    <row r="12" spans="1:6" x14ac:dyDescent="0.25">
      <c r="A12" t="s">
        <v>34</v>
      </c>
      <c r="B12" s="34">
        <v>655000000</v>
      </c>
      <c r="C12" s="34">
        <v>720000000</v>
      </c>
      <c r="D12" s="34">
        <v>725000000</v>
      </c>
      <c r="E12" s="34">
        <v>727000000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