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<sst xmlns="http://schemas.openxmlformats.org/spreadsheetml/2006/main" count="119" uniqueCount="106">
  <si>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Kenvue Inc. (KVUE)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</si>
  <si>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</si>
  <si>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</si>
  <si>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</si>
  <si>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</si>
  <si>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</si>
  <si>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</si>
  <si>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</si>
  <si>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</si>
  <si>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</si>
  <si>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</si>
  <si>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</si>
  <si>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</si>
  <si>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</si>
  <si>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</si>
  <si>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</si>
  <si>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</si>
  <si>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</si>
  <si>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</si>
  <si>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</si>
  <si>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</si>
  <si>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</si>
  <si>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</si>
  <si>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</si>
  <si>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+ 70bp, the spread for a A+ rating at 6.3x interest cover. Book interest / average debt was lower, at 4.9%.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</si>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</sst>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0.031207000793440853</v>
      </c>
    </row>
    <row r="7" spans="1:2" x14ac:dyDescent="0.25">
      <c r="A7" t="s">
        <v>4</v>
      </c>
      <c r="B7" s="5">
        <v>0.17271100128733696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0.040187492511220155</v>
      </c>
    </row>
    <row r="10" spans="1:3" x14ac:dyDescent="0.25">
      <c r="A10" t="s">
        <v>7</v>
      </c>
      <c r="B10" s="5">
        <v>0.028734988649426224</v>
      </c>
      <c r="C10" s="6" t="s">
        <v>8</v>
      </c>
    </row>
    <row r="11" spans="1:2" x14ac:dyDescent="0.25">
      <c r="A11" t="s">
        <v>9</v>
      </c>
      <c r="B11" s="5">
        <v>0.100662246768245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13.662022024449877</v>
      </c>
    </row>
    <row r="14" spans="1:3" x14ac:dyDescent="0.25">
      <c r="A14" t="s">
        <v>12</v>
      </c>
      <c r="B14" s="5">
        <v>0.10915151650528622</v>
      </c>
      <c r="C14" s="6" t="s">
        <v>13</v>
      </c>
    </row>
    <row r="15" spans="1:3" x14ac:dyDescent="0.25">
      <c r="A15" t="s">
        <v>14</v>
      </c>
      <c r="B15" s="5">
        <v>0.020556156939958017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0.62949</v>
      </c>
      <c r="C19" s="6" t="s">
        <v>21</v>
      </c>
    </row>
    <row r="20" spans="1:2" x14ac:dyDescent="0.25">
      <c r="A20" t="s">
        <v>22</v>
      </c>
      <c r="B20" s="9">
        <f>B17+B19*B18</f>
        <v>0.075567427</v>
      </c>
    </row>
    <row r="21" spans="1:3" x14ac:dyDescent="0.25">
      <c r="A21" t="s">
        <v>23</v>
      </c>
      <c r="B21" s="5">
        <v>0.055940000000000004</v>
      </c>
      <c r="C21" s="6" t="s">
        <v>24</v>
      </c>
    </row>
    <row r="22" spans="1:2" x14ac:dyDescent="0.25">
      <c r="A22" t="s">
        <v>25</v>
      </c>
      <c r="B22" s="10">
        <v>37090136064</v>
      </c>
    </row>
    <row r="23" spans="1:2" x14ac:dyDescent="0.25">
      <c r="A23" t="s">
        <v>26</v>
      </c>
      <c r="B23" s="10">
        <v>8674000000</v>
      </c>
    </row>
    <row r="24" spans="1:2" x14ac:dyDescent="0.25">
      <c r="A24" t="s">
        <v>27</v>
      </c>
      <c r="B24" s="9">
        <f>B22/(B22+B23)</f>
        <v>0.8104629356955493</v>
      </c>
    </row>
    <row r="25" spans="1:2" x14ac:dyDescent="0.25">
      <c r="A25" t="s">
        <v>28</v>
      </c>
      <c r="B25" s="9">
        <f>1-B24</f>
        <v>0.18953706430445072</v>
      </c>
    </row>
    <row r="26" spans="1:2" x14ac:dyDescent="0.25">
      <c r="A26" t="s">
        <v>29</v>
      </c>
      <c r="B26" s="11">
        <f>B24*B20+B25*B21*(1-B8)</f>
        <v>0.06962073439735998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15124000000</v>
      </c>
      <c r="C29" s="6" t="s">
        <v>32</v>
      </c>
    </row>
    <row r="30" spans="1:2" x14ac:dyDescent="0.25">
      <c r="A30" t="s">
        <v>33</v>
      </c>
      <c r="B30" s="10">
        <v>7612000000</v>
      </c>
    </row>
    <row r="31" spans="1:2" x14ac:dyDescent="0.25">
      <c r="A31" t="s">
        <v>34</v>
      </c>
      <c r="B31" s="12">
        <v>1924000000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0.031207000793440853</v>
      </c>
      <c r="C5" s="5">
        <v>0.023800636870487724</v>
      </c>
      <c r="D5" s="5">
        <v>0.023950557261676757</v>
      </c>
      <c r="E5" s="5">
        <v>0.02410047765286579</v>
      </c>
      <c r="F5" s="5">
        <v>0.02425039804405483</v>
      </c>
      <c r="G5" s="5">
        <v>0.024400318435243862</v>
      </c>
      <c r="H5" s="5">
        <v>0.024550238826432896</v>
      </c>
      <c r="I5" s="5">
        <v>0.024700159217621934</v>
      </c>
      <c r="J5" s="5">
        <v>0.024850079608810968</v>
      </c>
      <c r="K5" s="5">
        <v>0.025</v>
      </c>
    </row>
    <row r="6" spans="1:11" x14ac:dyDescent="0.25">
      <c r="A6" t="s">
        <v>50</v>
      </c>
      <c r="B6" s="18">
        <f>Assumptions!B29*(1+B5)</f>
        <v>15595974680</v>
      </c>
      <c r="C6" s="18">
        <f>B6*(1+C5)</f>
        <v>15967168810.000002</v>
      </c>
      <c r="D6" s="18">
        <f>C6*(1+D5)</f>
        <v>16349591400.890766</v>
      </c>
      <c r="E6" s="18">
        <f>D6*(1+E5)</f>
        <v>16743624363.081419</v>
      </c>
      <c r="F6" s="18">
        <f>E6*(1+F5)</f>
        <v>17149663918.586279</v>
      </c>
      <c r="G6" s="18">
        <f>F6*(1+G5)</f>
        <v>17568121179.2572</v>
      </c>
      <c r="H6" s="18">
        <f>G6*(1+H5)</f>
        <v>17999422749.93968</v>
      </c>
      <c r="I6" s="18">
        <f>H6*(1+I5)</f>
        <v>18444011357.688473</v>
      </c>
      <c r="J6" s="18">
        <f>I6*(1+J5)</f>
        <v>18902346508.232845</v>
      </c>
      <c r="K6" s="18">
        <f>J6*(1+K5)</f>
        <v>19374905170.938663</v>
      </c>
    </row>
    <row r="7" spans="1:11" x14ac:dyDescent="0.25">
      <c r="A7" t="s">
        <v>4</v>
      </c>
      <c r="B7" s="9">
        <f>Assumptions!B7</f>
        <v>0.17271100128733696</v>
      </c>
      <c r="C7" s="9">
        <f>Assumptions!B7</f>
        <v>0.17271100128733696</v>
      </c>
      <c r="D7" s="9">
        <f>Assumptions!B7</f>
        <v>0.17271100128733696</v>
      </c>
      <c r="E7" s="9">
        <f>Assumptions!B7</f>
        <v>0.17271100128733696</v>
      </c>
      <c r="F7" s="9">
        <f>Assumptions!B7</f>
        <v>0.17271100128733696</v>
      </c>
      <c r="G7" s="9">
        <f>Assumptions!B7</f>
        <v>0.17271100128733696</v>
      </c>
      <c r="H7" s="9">
        <f>Assumptions!B7</f>
        <v>0.17271100128733696</v>
      </c>
      <c r="I7" s="9">
        <f>Assumptions!B7</f>
        <v>0.17271100128733696</v>
      </c>
      <c r="J7" s="9">
        <f>Assumptions!B7</f>
        <v>0.17271100128733696</v>
      </c>
      <c r="K7" s="9">
        <f>Assumptions!B7</f>
        <v>0.17271100128733696</v>
      </c>
    </row>
    <row r="8" spans="1:11" x14ac:dyDescent="0.25">
      <c r="A8" t="s">
        <v>51</v>
      </c>
      <c r="B8" s="18">
        <f>B6*B7</f>
        <v>2693596403.0347548</v>
      </c>
      <c r="C8" s="18">
        <f>C6*C7</f>
        <v>2757705712.899037</v>
      </c>
      <c r="D8" s="18">
        <f>D6*D7</f>
        <v>2823754301.4866786</v>
      </c>
      <c r="E8" s="18">
        <f>E6*E7</f>
        <v>2891808128.9268413</v>
      </c>
      <c r="F8" s="18">
        <f>F6*F7</f>
        <v>2961935627.1203513</v>
      </c>
      <c r="G8" s="18">
        <f>G6*G7</f>
        <v>3034207799.606782</v>
      </c>
      <c r="H8" s="18">
        <f>H6*H7</f>
        <v>3108698325.736154</v>
      </c>
      <c r="I8" s="18">
        <f>I6*I7</f>
        <v>3185483669.3413916</v>
      </c>
      <c r="J8" s="18">
        <f>J6*J7</f>
        <v>3264643192.117092</v>
      </c>
      <c r="K8" s="18">
        <f>K6*K7</f>
        <v>3346259271.920019</v>
      </c>
    </row>
    <row r="9" spans="1:11" x14ac:dyDescent="0.25">
      <c r="A9" t="s">
        <v>52</v>
      </c>
      <c r="B9" s="18">
        <f>B8*(1-Assumptions!B8)</f>
        <v>2127941158.3974564</v>
      </c>
      <c r="C9" s="18">
        <f>C8*(1-Assumptions!B8)</f>
        <v>2178587513.1902394</v>
      </c>
      <c r="D9" s="18">
        <f>D8*(1-Assumptions!B8)</f>
        <v>2230765898.174476</v>
      </c>
      <c r="E9" s="18">
        <f>E8*(1-Assumptions!B8)</f>
        <v>2284528421.852205</v>
      </c>
      <c r="F9" s="18">
        <f>F8*(1-Assumptions!B8)</f>
        <v>2339929145.4250774</v>
      </c>
      <c r="G9" s="18">
        <f>G8*(1-Assumptions!B8)</f>
        <v>2397024161.6893578</v>
      </c>
      <c r="H9" s="18">
        <f>H8*(1-Assumptions!B8)</f>
        <v>2455871677.331562</v>
      </c>
      <c r="I9" s="18">
        <f>I8*(1-Assumptions!B8)</f>
        <v>2516532098.7796993</v>
      </c>
      <c r="J9" s="18">
        <f>J8*(1-Assumptions!B8)</f>
        <v>2579068121.772503</v>
      </c>
      <c r="K9" s="18">
        <f>K8*(1-Assumptions!B8)</f>
        <v>2643544824.8168154</v>
      </c>
    </row>
    <row r="10" spans="1:11" x14ac:dyDescent="0.25">
      <c r="A10" t="s">
        <v>53</v>
      </c>
      <c r="B10" s="18">
        <f>B6*Assumptions!B9</f>
        <v>626763115.6576792</v>
      </c>
      <c r="C10" s="18">
        <f>C6*Assumptions!B9</f>
        <v>641680476.9772631</v>
      </c>
      <c r="D10" s="18">
        <f>D6*Assumptions!B9</f>
        <v>657049081.9848071</v>
      </c>
      <c r="E10" s="18">
        <f>E6*Assumptions!B9</f>
        <v>672884278.7020179</v>
      </c>
      <c r="F10" s="18">
        <f>F6*Assumptions!B9</f>
        <v>689201990.2981286</v>
      </c>
      <c r="G10" s="18">
        <f>G6*Assumptions!B9</f>
        <v>706018738.3276068</v>
      </c>
      <c r="H10" s="18">
        <f>H6*Assumptions!B9</f>
        <v>723351666.9694865</v>
      </c>
      <c r="I10" s="18">
        <f>I6*Assumptions!B9</f>
        <v>741218568.313965</v>
      </c>
      <c r="J10" s="18">
        <f>J6*Assumptions!B9</f>
        <v>759637908.7440959</v>
      </c>
      <c r="K10" s="18">
        <f>K6*Assumptions!B9</f>
        <v>778628856.4626982</v>
      </c>
    </row>
    <row r="11" spans="1:11" x14ac:dyDescent="0.25">
      <c r="A11" t="s">
        <v>54</v>
      </c>
      <c r="B11" s="18">
        <f>-B6*B19</f>
        <v>-448150155.4065388</v>
      </c>
      <c r="C11" s="18">
        <f>-C6*C19</f>
        <v>-506050511.55364025</v>
      </c>
      <c r="D11" s="18">
        <f>-D6*D19</f>
        <v>-566536083.2884604</v>
      </c>
      <c r="E11" s="18">
        <f>-E6*E19</f>
        <v>-629720882.2432433</v>
      </c>
      <c r="F11" s="18">
        <f>-F6*F19</f>
        <v>-695724019.7117102</v>
      </c>
      <c r="G11" s="18">
        <f>-G6*G19</f>
        <v>-764669943.5002298</v>
      </c>
      <c r="H11" s="18">
        <f>-H6*H19</f>
        <v>-836688686.2007183</v>
      </c>
      <c r="I11" s="18">
        <f>-I6*I19</f>
        <v>-911916125.4575243</v>
      </c>
      <c r="J11" s="18">
        <f>-J6*J19</f>
        <v>-990494256.8302895</v>
      </c>
      <c r="K11" s="18">
        <f>-K6*K19</f>
        <v>-1072571479.8860984</v>
      </c>
    </row>
    <row r="12" spans="1:11" x14ac:dyDescent="0.25">
      <c r="A12" t="s">
        <v>55</v>
      </c>
      <c r="B12" s="18">
        <f>-(B6-Assumptions!B29)*Assumptions!B11</f>
        <v>-47510031.70652347</v>
      </c>
      <c r="C12" s="18">
        <f>-(C6-B6)*Assumptions!B11</f>
        <v>-37365235.11298421</v>
      </c>
      <c r="D12" s="18">
        <f>-(D6-C6)*Assumptions!B11</f>
        <v>-38495517.213997714</v>
      </c>
      <c r="E12" s="18">
        <f>-(E6-D6)*Assumptions!B11</f>
        <v>-39664243.27485805</v>
      </c>
      <c r="F12" s="18">
        <f>-(F6-E6)*Assumptions!B11</f>
        <v>-40872853.933898725</v>
      </c>
      <c r="G12" s="18">
        <f>-(G6-F6)*Assumptions!B11</f>
        <v>-42122848.035619915</v>
      </c>
      <c r="H12" s="18">
        <f>-(H6-G6)*Assumptions!B11</f>
        <v>-43415785.13957145</v>
      </c>
      <c r="I12" s="18">
        <f>-(I6-H6)*Assumptions!B11</f>
        <v>-44753288.14355964</v>
      </c>
      <c r="J12" s="18">
        <f>-(J6-I6)*Assumptions!B11</f>
        <v>-46137046.026658356</v>
      </c>
      <c r="K12" s="18">
        <f>-(K6-J6)*Assumptions!B11</f>
        <v>-47568816.71776493</v>
      </c>
    </row>
    <row r="13" spans="1:11" x14ac:dyDescent="0.25">
      <c r="A13" s="19" t="s">
        <v>56</v>
      </c>
      <c r="B13" s="20">
        <f>B9+B10+B11+B12</f>
        <v>2259044086.9420733</v>
      </c>
      <c r="C13" s="20">
        <f>C9+C10+C11+C12</f>
        <v>2276852243.500878</v>
      </c>
      <c r="D13" s="20">
        <f>D9+D10+D11+D12</f>
        <v>2282783379.656825</v>
      </c>
      <c r="E13" s="20">
        <f>E9+E10+E11+E12</f>
        <v>2288027575.0361214</v>
      </c>
      <c r="F13" s="20">
        <f>F9+F10+F11+F12</f>
        <v>2292534262.0775967</v>
      </c>
      <c r="G13" s="20">
        <f>G9+G10+G11+G12</f>
        <v>2296250108.481115</v>
      </c>
      <c r="H13" s="20">
        <f>H9+H10+H11+H12</f>
        <v>2299118872.960758</v>
      </c>
      <c r="I13" s="20">
        <f>I9+I10+I11+I12</f>
        <v>2301081253.4925804</v>
      </c>
      <c r="J13" s="20">
        <f>J9+J10+J11+J12</f>
        <v>2302074727.659651</v>
      </c>
      <c r="K13" s="20">
        <f>K9+K10+K11+K12</f>
        <v>2302033384.67565</v>
      </c>
    </row>
    <row r="14" spans="1:11" x14ac:dyDescent="0.25">
      <c r="A14" t="s">
        <v>57</v>
      </c>
      <c r="B14" s="21">
        <f>1/(1+Assumptions!$B$26)^(1-0.5*Assumptions!$B$32)</f>
        <v>0.9669078663336345</v>
      </c>
      <c r="C14" s="21">
        <f>1/(1+Assumptions!$B$26)^(2-0.5*Assumptions!$B$32)</f>
        <v>0.9039726280908388</v>
      </c>
      <c r="D14" s="21">
        <f>1/(1+Assumptions!$B$26)^(3-0.5*Assumptions!$B$32)</f>
        <v>0.8451337927738939</v>
      </c>
      <c r="E14" s="21">
        <f>1/(1+Assumptions!$B$26)^(4-0.5*Assumptions!$B$32)</f>
        <v>0.790124728883509</v>
      </c>
      <c r="F14" s="21">
        <f>1/(1+Assumptions!$B$26)^(5-0.5*Assumptions!$B$32)</f>
        <v>0.7386961597455166</v>
      </c>
      <c r="G14" s="21">
        <f>1/(1+Assumptions!$B$26)^(6-0.5*Assumptions!$B$32)</f>
        <v>0.6906150338995708</v>
      </c>
      <c r="H14" s="21">
        <f>1/(1+Assumptions!$B$26)^(7-0.5*Assumptions!$B$32)</f>
        <v>0.6456634690133165</v>
      </c>
      <c r="I14" s="21">
        <f>1/(1+Assumptions!$B$26)^(8-0.5*Assumptions!$B$32)</f>
        <v>0.6036377645363175</v>
      </c>
      <c r="J14" s="21">
        <f>1/(1+Assumptions!$B$26)^(9-0.5*Assumptions!$B$32)</f>
        <v>0.5643474786195274</v>
      </c>
      <c r="K14" s="21">
        <f>1/(1+Assumptions!$B$26)^(10-0.5*Assumptions!$B$32)</f>
        <v>0.5276145651173162</v>
      </c>
    </row>
    <row r="15" spans="1:11" x14ac:dyDescent="0.25">
      <c r="A15" s="19" t="s">
        <v>58</v>
      </c>
      <c r="B15" s="20">
        <f>B13*B14</f>
        <v>2184287498.0587735</v>
      </c>
      <c r="C15" s="20">
        <f>C13*C14</f>
        <v>2058212106.332011</v>
      </c>
      <c r="D15" s="20">
        <f>D13*D14</f>
        <v>1929257375.7305803</v>
      </c>
      <c r="E15" s="20">
        <f>E13*E14</f>
        <v>1807827167.403408</v>
      </c>
      <c r="F15" s="20">
        <f>F13*F14</f>
        <v>1693486255.4817424</v>
      </c>
      <c r="G15" s="20">
        <f>G13*G14</f>
        <v>1585824846.5105782</v>
      </c>
      <c r="H15" s="20">
        <f>H13*H14</f>
        <v>1484457067.1898296</v>
      </c>
      <c r="I15" s="20">
        <f>I13*I14</f>
        <v>1389019543.8746884</v>
      </c>
      <c r="J15" s="20">
        <f>J13*J14</f>
        <v>1299170068.1484592</v>
      </c>
      <c r="K15" s="20">
        <f>K13*K14</f>
        <v>1214586343.1411865</v>
      </c>
    </row>
    <row r="17" spans="1:2" x14ac:dyDescent="0.25">
      <c r="A17" s="22" t="s">
        <v>59</v>
      </c>
      <c r="B17" s="23">
        <f>SUM(B15:K15)</f>
        <v>16646128271.871256</v>
      </c>
    </row>
    <row r="19" spans="1:11" x14ac:dyDescent="0.25">
      <c r="A19" t="s">
        <v>7</v>
      </c>
      <c r="B19" s="9">
        <f>Assumptions!$B$10+($B$20-Assumptions!$B$10)*0/9</f>
        <v>0.028734988649426224</v>
      </c>
      <c r="C19" s="9">
        <f>Assumptions!$B$10+($B$20-Assumptions!$B$10)*1/9</f>
        <v>0.0316931897930902</v>
      </c>
      <c r="D19" s="9">
        <f>Assumptions!$B$10+($B$20-Assumptions!$B$10)*2/9</f>
        <v>0.03465139093675418</v>
      </c>
      <c r="E19" s="9">
        <f>Assumptions!$B$10+($B$20-Assumptions!$B$10)*3/9</f>
        <v>0.03760959208041815</v>
      </c>
      <c r="F19" s="9">
        <f>Assumptions!$B$10+($B$20-Assumptions!$B$10)*4/9</f>
        <v>0.040567793224082126</v>
      </c>
      <c r="G19" s="9">
        <f>Assumptions!$B$10+($B$20-Assumptions!$B$10)*5/9</f>
        <v>0.0435259943677461</v>
      </c>
      <c r="H19" s="9">
        <f>Assumptions!$B$10+($B$20-Assumptions!$B$10)*6/9</f>
        <v>0.04648419551141007</v>
      </c>
      <c r="I19" s="9">
        <f>Assumptions!$B$10+($B$20-Assumptions!$B$10)*7/9</f>
        <v>0.04944239665507405</v>
      </c>
      <c r="J19" s="9">
        <f>Assumptions!$B$10+($B$20-Assumptions!$B$10)*8/9</f>
        <v>0.05240059779873803</v>
      </c>
      <c r="K19" s="9">
        <f>Assumptions!$B$10+($B$20-Assumptions!$B$10)*9/9</f>
        <v>0.055358798942402004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0.055358798942402004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2302033384.67565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2944025484.2237573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0.22903941970232955</v>
      </c>
    </row>
    <row r="7" spans="1:2" x14ac:dyDescent="0.25">
      <c r="A7" t="s">
        <v>66</v>
      </c>
      <c r="B7" s="18">
        <f>-MAX(B5,0)*B6</f>
        <v>-674297888.4954791</v>
      </c>
    </row>
    <row r="8" spans="1:2" x14ac:dyDescent="0.25">
      <c r="A8" t="s">
        <v>67</v>
      </c>
      <c r="B8" s="18">
        <f>IF(OR(Assumptions!$B$33=0,Assumptions!B12&lt;=0),B5,MAX(B5+B7,0))</f>
        <v>2269727595.728278</v>
      </c>
    </row>
    <row r="9" spans="1:2" x14ac:dyDescent="0.25">
      <c r="A9" t="s">
        <v>68</v>
      </c>
      <c r="B9" s="18">
        <f>B8*(1+Assumptions!B12)/(Assumptions!B26-Assumptions!B12)</f>
        <v>52138782945.69558</v>
      </c>
    </row>
    <row r="10" spans="1:2" x14ac:dyDescent="0.25">
      <c r="A10" t="s">
        <v>69</v>
      </c>
      <c r="B10" s="18">
        <f>B9/(1+Assumptions!B26)^(10-0.5*Assumptions!B32)</f>
        <v>27509181289.639317</v>
      </c>
    </row>
    <row r="11" spans="1:2" x14ac:dyDescent="0.25">
      <c r="A11" t="s">
        <v>70</v>
      </c>
      <c r="B11" s="18">
        <f>Forecast!B17+B10</f>
        <v>44155309561.510574</v>
      </c>
    </row>
    <row r="12" spans="1:2" x14ac:dyDescent="0.25">
      <c r="A12" t="s">
        <v>71</v>
      </c>
      <c r="B12" s="18">
        <f>-Assumptions!B30</f>
        <v>-7612000000</v>
      </c>
    </row>
    <row r="13" spans="1:2" x14ac:dyDescent="0.25">
      <c r="A13" t="s">
        <v>72</v>
      </c>
      <c r="B13" s="18">
        <f>B11+B12</f>
        <v>36543309561.510574</v>
      </c>
    </row>
    <row r="14" spans="1:2" x14ac:dyDescent="0.25">
      <c r="A14" s="19" t="s">
        <v>73</v>
      </c>
      <c r="B14" s="24">
        <f>B13/Assumptions!B31</f>
        <v>18.99340413799926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4124888128.382717</v>
      </c>
    </row>
    <row r="18" spans="1:2" x14ac:dyDescent="0.25">
      <c r="A18" t="s">
        <v>68</v>
      </c>
      <c r="B18" s="18">
        <f>B17*Assumptions!B13</f>
        <v>56354312458.356514</v>
      </c>
    </row>
    <row r="19" spans="1:2" x14ac:dyDescent="0.25">
      <c r="A19" t="s">
        <v>69</v>
      </c>
      <c r="B19" s="18">
        <f>B18/(1+Assumptions!B26)^(10-0.5*Assumptions!B32)</f>
        <v>29733356060.201126</v>
      </c>
    </row>
    <row r="20" spans="1:2" x14ac:dyDescent="0.25">
      <c r="A20" t="s">
        <v>70</v>
      </c>
      <c r="B20" s="18">
        <f>Forecast!B17+B19</f>
        <v>46379484332.07238</v>
      </c>
    </row>
    <row r="21" spans="1:2" x14ac:dyDescent="0.25">
      <c r="A21" t="s">
        <v>71</v>
      </c>
      <c r="B21" s="18">
        <f>-Assumptions!B30</f>
        <v>-7612000000</v>
      </c>
    </row>
    <row r="22" spans="1:2" x14ac:dyDescent="0.25">
      <c r="A22" t="s">
        <v>72</v>
      </c>
      <c r="B22" s="18">
        <f>B20+B21</f>
        <v>38767484332.07238</v>
      </c>
    </row>
    <row r="23" spans="1:2" x14ac:dyDescent="0.25">
      <c r="A23" s="19" t="s">
        <v>73</v>
      </c>
      <c r="B23" s="25">
        <f>B22/Assumptions!B31</f>
        <v>20.14942013101475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19.31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18.99340413799926</v>
      </c>
    </row>
    <row r="29" spans="1:2" x14ac:dyDescent="0.25">
      <c r="A29" s="19" t="s">
        <v>81</v>
      </c>
      <c r="B29" s="11">
        <f>B28/B26-1</f>
        <v>-0.016395435629245947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0.049621</v>
      </c>
      <c r="B5" s="31">
        <v>30.368104684806276</v>
      </c>
      <c r="C5" s="31">
        <v>32.872047514501986</v>
      </c>
      <c r="D5" s="31">
        <v>36.470942193308794</v>
      </c>
      <c r="E5" s="31">
        <v>42.00186520747444</v>
      </c>
      <c r="F5" s="31">
        <v>51.44692619590069</v>
      </c>
    </row>
    <row r="6" spans="1:6" x14ac:dyDescent="0.25">
      <c r="A6" s="30">
        <v>0.059621</v>
      </c>
      <c r="B6" s="31">
        <v>22.831893254895807</v>
      </c>
      <c r="C6" s="31">
        <v>23.85100216040669</v>
      </c>
      <c r="D6" s="31">
        <v>25.216820383130223</v>
      </c>
      <c r="E6" s="31">
        <v>27.104920650462173</v>
      </c>
      <c r="F6" s="31">
        <v>29.833495995550095</v>
      </c>
    </row>
    <row r="7" spans="1:6" x14ac:dyDescent="0.25">
      <c r="A7" s="30">
        <v>0.069621</v>
      </c>
      <c r="B7" s="31">
        <v>18.052659022749467</v>
      </c>
      <c r="C7" s="31">
        <v>18.45831857155268</v>
      </c>
      <c r="D7" s="32">
        <v>18.993275710558432</v>
      </c>
      <c r="E7" s="31">
        <v>19.70648084114576</v>
      </c>
      <c r="F7" s="31">
        <v>20.67516223152537</v>
      </c>
    </row>
    <row r="8" spans="1:6" x14ac:dyDescent="0.25">
      <c r="A8" s="30">
        <v>0.079621</v>
      </c>
      <c r="B8" s="31">
        <v>14.750657247500541</v>
      </c>
      <c r="C8" s="31">
        <v>14.868778794658015</v>
      </c>
      <c r="D8" s="31">
        <v>15.038187536347847</v>
      </c>
      <c r="E8" s="31">
        <v>15.274387148795542</v>
      </c>
      <c r="F8" s="31">
        <v>15.599830357430099</v>
      </c>
    </row>
    <row r="9" spans="1:6" x14ac:dyDescent="0.25">
      <c r="A9" s="30">
        <v>0.089621</v>
      </c>
      <c r="B9" s="31">
        <v>12.33212505835358</v>
      </c>
      <c r="C9" s="31">
        <v>12.305784380111847</v>
      </c>
      <c r="D9" s="31">
        <v>12.299103271683148</v>
      </c>
      <c r="E9" s="31">
        <v>12.317027868610262</v>
      </c>
      <c r="F9" s="31">
        <v>12.366315381129848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15124000000</v>
      </c>
      <c r="C5" s="18">
        <v>15455000000</v>
      </c>
      <c r="D5" s="18">
        <v>15444000000</v>
      </c>
      <c r="E5" s="18">
        <v>14950000000</v>
      </c>
      <c r="F5" s="6" t="s">
        <v>91</v>
      </c>
    </row>
    <row r="6" spans="1:6" x14ac:dyDescent="0.25">
      <c r="A6" t="s">
        <v>51</v>
      </c>
      <c r="B6" s="18">
        <v>2715000000</v>
      </c>
      <c r="C6" s="18">
        <v>2629000000</v>
      </c>
      <c r="D6" s="18">
        <v>2493000000</v>
      </c>
      <c r="E6" s="18">
        <v>2688000000</v>
      </c>
      <c r="F6" s="6" t="s">
        <v>92</v>
      </c>
    </row>
    <row r="7" spans="1:6" x14ac:dyDescent="0.25">
      <c r="A7" t="s">
        <v>93</v>
      </c>
      <c r="B7" s="18">
        <v>557000000</v>
      </c>
      <c r="C7" s="18">
        <v>622000000</v>
      </c>
      <c r="D7" s="18">
        <v>627000000</v>
      </c>
      <c r="E7" s="18">
        <v>644000000</v>
      </c>
      <c r="F7" s="6" t="s">
        <v>94</v>
      </c>
    </row>
    <row r="8" spans="1:6" x14ac:dyDescent="0.25">
      <c r="A8" t="s">
        <v>95</v>
      </c>
      <c r="B8" s="18">
        <v>475000000</v>
      </c>
      <c r="C8" s="18">
        <v>434000000</v>
      </c>
      <c r="D8" s="18">
        <v>469000000</v>
      </c>
      <c r="E8" s="18">
        <v>375000000</v>
      </c>
      <c r="F8" s="6" t="s">
        <v>96</v>
      </c>
    </row>
    <row r="9" spans="1:6" x14ac:dyDescent="0.25">
      <c r="A9" t="s">
        <v>97</v>
      </c>
      <c r="B9" s="18">
        <v>-52000000</v>
      </c>
      <c r="C9" s="18">
        <v>571000000</v>
      </c>
      <c r="D9" s="18">
        <v>-797000000</v>
      </c>
      <c r="E9" s="18">
        <v>525000000</v>
      </c>
      <c r="F9" s="6" t="s">
        <v>98</v>
      </c>
    </row>
    <row r="10" spans="1:6" x14ac:dyDescent="0.25">
      <c r="A10" t="s">
        <v>99</v>
      </c>
      <c r="B10" s="18">
        <v>8674000000</v>
      </c>
      <c r="C10" s="18">
        <v>8720000000</v>
      </c>
      <c r="D10" s="18">
        <v>8427000000</v>
      </c>
      <c r="E10" s="18">
        <v>116000000</v>
      </c>
      <c r="F10" s="6" t="s">
        <v>100</v>
      </c>
    </row>
    <row r="11" spans="1:6" x14ac:dyDescent="0.25">
      <c r="A11" t="s">
        <v>101</v>
      </c>
      <c r="B11" s="18">
        <v>1062000000</v>
      </c>
      <c r="C11" s="18">
        <v>1070000000</v>
      </c>
      <c r="D11" s="18">
        <v>1382000000</v>
      </c>
      <c r="E11" s="18">
        <v>1231000000</v>
      </c>
      <c r="F11" s="6" t="s">
        <v>102</v>
      </c>
    </row>
    <row r="12" spans="1:6" x14ac:dyDescent="0.25">
      <c r="A12" t="s">
        <v>34</v>
      </c>
      <c r="B12" s="34">
        <v>1924000000</v>
      </c>
      <c r="C12" s="34">
        <v>1923000000</v>
      </c>
      <c r="D12" s="34">
        <v>1850000000</v>
      </c>
      <c r="E12" s="34">
        <v>1888972560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