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<sst xmlns="http://schemas.openxmlformats.org/spreadsheetml/2006/main" count="112" uniqueCount="100">
  <si>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Loblaw Companies Limited (L.TO)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</si>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</sst>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0.04187116346312769</v>
      </c>
    </row>
    <row r="7" spans="1:2" x14ac:dyDescent="0.25">
      <c r="A7" t="s">
        <v>5</v>
      </c>
      <c r="B7" s="6">
        <v>0.06209487595703342</v>
      </c>
    </row>
    <row r="8" spans="1:2" x14ac:dyDescent="0.25">
      <c r="A8" t="s">
        <v>6</v>
      </c>
      <c r="B8" s="6">
        <v>0.25600365651750395</v>
      </c>
    </row>
    <row r="9" spans="1:2" x14ac:dyDescent="0.25">
      <c r="A9" t="s">
        <v>7</v>
      </c>
      <c r="B9" s="6">
        <v>0.04759530784880721</v>
      </c>
    </row>
    <row r="10" spans="1:2" x14ac:dyDescent="0.25">
      <c r="A10" t="s">
        <v>8</v>
      </c>
      <c r="B10" s="6">
        <v>0.032867303916487726</v>
      </c>
    </row>
    <row r="11" spans="1:2" x14ac:dyDescent="0.25">
      <c r="A11" t="s">
        <v>9</v>
      </c>
      <c r="B11" s="6">
        <v>0.05553719008264463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12.10955018943839</v>
      </c>
    </row>
    <row r="14" spans="1:3" x14ac:dyDescent="0.25">
      <c r="A14" t="s">
        <v>12</v>
      </c>
      <c r="B14" s="6">
        <v>0.1333592528655166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0.56785</v>
      </c>
      <c r="C19" s="8" t="s">
        <v>19</v>
      </c>
    </row>
    <row r="20" spans="1:2" x14ac:dyDescent="0.25">
      <c r="A20" t="s">
        <v>20</v>
      </c>
      <c r="B20" s="10">
        <f>B17+B19*B18</f>
        <v>0.06423175</v>
      </c>
    </row>
    <row r="21" spans="1:3" x14ac:dyDescent="0.25">
      <c r="A21" t="s">
        <v>21</v>
      </c>
      <c r="B21" s="6">
        <v>0.0430555946913128</v>
      </c>
      <c r="C21" s="8" t="s">
        <v>22</v>
      </c>
    </row>
    <row r="22" spans="1:2" x14ac:dyDescent="0.25">
      <c r="A22" t="s">
        <v>23</v>
      </c>
      <c r="B22" s="11">
        <v>71416160256</v>
      </c>
    </row>
    <row r="23" spans="1:2" x14ac:dyDescent="0.25">
      <c r="A23" t="s">
        <v>24</v>
      </c>
      <c r="B23" s="11">
        <v>16305000000</v>
      </c>
    </row>
    <row r="24" spans="1:2" x14ac:dyDescent="0.25">
      <c r="A24" t="s">
        <v>25</v>
      </c>
      <c r="B24" s="10">
        <f>B22/(B22+B23)</f>
        <v>0.8141269455121604</v>
      </c>
    </row>
    <row r="25" spans="1:2" x14ac:dyDescent="0.25">
      <c r="A25" t="s">
        <v>26</v>
      </c>
      <c r="B25" s="10">
        <f>1-B24</f>
        <v>0.18587305448783964</v>
      </c>
    </row>
    <row r="26" spans="1:2" x14ac:dyDescent="0.25">
      <c r="A26" t="s">
        <v>27</v>
      </c>
      <c r="B26" s="12">
        <f>B24*B20+B25*B21*(1-B8)</f>
        <v>0.058246908093908714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63903000000</v>
      </c>
      <c r="C29" s="8" t="s">
        <v>30</v>
      </c>
    </row>
    <row r="30" spans="1:2" x14ac:dyDescent="0.25">
      <c r="A30" t="s">
        <v>31</v>
      </c>
      <c r="B30" s="11">
        <v>15264000000</v>
      </c>
    </row>
    <row r="31" spans="1:2" x14ac:dyDescent="0.25">
      <c r="A31" t="s">
        <v>32</v>
      </c>
      <c r="B31" s="13">
        <v>1199400000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0.04187116346312769</v>
      </c>
      <c r="C5" s="10">
        <f>Assumptions!B6</f>
        <v>0.04187116346312769</v>
      </c>
      <c r="D5" s="10">
        <f>Assumptions!B6</f>
        <v>0.04187116346312769</v>
      </c>
      <c r="E5" s="10">
        <f>Assumptions!B6</f>
        <v>0.04187116346312769</v>
      </c>
      <c r="F5" s="10">
        <f>Assumptions!B6</f>
        <v>0.04187116346312769</v>
      </c>
    </row>
    <row r="6" spans="1:6" x14ac:dyDescent="0.25">
      <c r="A6" t="s">
        <v>43</v>
      </c>
      <c r="B6" s="18">
        <f>Assumptions!B29*(1+B5)</f>
        <v>66578692958.78425</v>
      </c>
      <c r="C6" s="18">
        <f>B6*(1+C5)</f>
        <v>69366420294.82289</v>
      </c>
      <c r="D6" s="18">
        <f>C6*(1+D5)</f>
        <v>72270873017.83943</v>
      </c>
      <c r="E6" s="18">
        <f>D6*(1+E5)</f>
        <v>75296938555.59233</v>
      </c>
      <c r="F6" s="18">
        <f>E6*(1+F5)</f>
        <v>78449708978.12662</v>
      </c>
    </row>
    <row r="7" spans="1:6" x14ac:dyDescent="0.25">
      <c r="A7" t="s">
        <v>5</v>
      </c>
      <c r="B7" s="10">
        <f>Assumptions!B7</f>
        <v>0.06209487595703342</v>
      </c>
      <c r="C7" s="10">
        <f>Assumptions!B7</f>
        <v>0.06209487595703342</v>
      </c>
      <c r="D7" s="10">
        <f>Assumptions!B7</f>
        <v>0.06209487595703342</v>
      </c>
      <c r="E7" s="10">
        <f>Assumptions!B7</f>
        <v>0.06209487595703342</v>
      </c>
      <c r="F7" s="10">
        <f>Assumptions!B7</f>
        <v>0.06209487595703342</v>
      </c>
    </row>
    <row r="8" spans="1:6" x14ac:dyDescent="0.25">
      <c r="A8" t="s">
        <v>44</v>
      </c>
      <c r="B8" s="18">
        <f>B6*B7</f>
        <v>4134195680.657122</v>
      </c>
      <c r="C8" s="18">
        <f>C6*C7</f>
        <v>4307299263.790473</v>
      </c>
      <c r="D8" s="18">
        <f>D6*D7</f>
        <v>4487650895.349253</v>
      </c>
      <c r="E8" s="18">
        <f>E6*E7</f>
        <v>4675554059.553873</v>
      </c>
      <c r="F8" s="18">
        <f>F6*F7</f>
        <v>4871324947.8621435</v>
      </c>
    </row>
    <row r="9" spans="1:6" x14ac:dyDescent="0.25">
      <c r="A9" t="s">
        <v>45</v>
      </c>
      <c r="B9" s="18">
        <f>B8*(1-Assumptions!B8)</f>
        <v>3075826469.650028</v>
      </c>
      <c r="C9" s="18">
        <f>C8*(1-Assumptions!B8)</f>
        <v>3204614902.5449595</v>
      </c>
      <c r="D9" s="18">
        <f>D8*(1-Assumptions!B8)</f>
        <v>3338795856.9657936</v>
      </c>
      <c r="E9" s="18">
        <f>E8*(1-Assumptions!B8)</f>
        <v>3478595124.0628223</v>
      </c>
      <c r="F9" s="18">
        <f>F8*(1-Assumptions!B8)</f>
        <v>3624247949.124496</v>
      </c>
    </row>
    <row r="10" spans="1:6" x14ac:dyDescent="0.25">
      <c r="A10" t="s">
        <v>46</v>
      </c>
      <c r="B10" s="18">
        <f>B6*Assumptions!B9</f>
        <v>3168833387.544549</v>
      </c>
      <c r="C10" s="18">
        <f>C6*Assumptions!B9</f>
        <v>3301516128.3018436</v>
      </c>
      <c r="D10" s="18">
        <f>D6*Assumptions!B9</f>
        <v>3439754449.7861223</v>
      </c>
      <c r="E10" s="18">
        <f>E6*Assumptions!B9</f>
        <v>3583780970.6261377</v>
      </c>
      <c r="F10" s="18">
        <f>F6*Assumptions!B9</f>
        <v>3733838049.463271</v>
      </c>
    </row>
    <row r="11" spans="1:6" x14ac:dyDescent="0.25">
      <c r="A11" t="s">
        <v>47</v>
      </c>
      <c r="B11" s="18">
        <f>-B6*Assumptions!B10</f>
        <v>-2188262135.8388834</v>
      </c>
      <c r="C11" s="18">
        <f>-C6*Assumptions!B10</f>
        <v>-2279887217.4287663</v>
      </c>
      <c r="D11" s="18">
        <f>-D6*Assumptions!B10</f>
        <v>-2375348747.787221</v>
      </c>
      <c r="E11" s="18">
        <f>-E6*Assumptions!B10</f>
        <v>-2474807363.4877553</v>
      </c>
      <c r="F11" s="18">
        <f>-F6*Assumptions!B10</f>
        <v>-2578430427.1441035</v>
      </c>
    </row>
    <row r="12" spans="1:6" x14ac:dyDescent="0.25">
      <c r="A12" t="s">
        <v>48</v>
      </c>
      <c r="B12" s="18">
        <f>-(B6-Assumptions!B29)*Assumptions!B11</f>
        <v>-148600468.45479462</v>
      </c>
      <c r="C12" s="18">
        <f>-(C6-B6)*Assumptions!B11</f>
        <v>-154822542.96016264</v>
      </c>
      <c r="D12" s="18">
        <f>-(D6-C6)*Assumptions!B11</f>
        <v>-161305142.9642244</v>
      </c>
      <c r="E12" s="18">
        <f>-(E6-D6)*Assumptions!B11</f>
        <v>-168059176.972723</v>
      </c>
      <c r="F12" s="18">
        <f>-(F6-E6)*Assumptions!B11</f>
        <v>-175096010.2432265</v>
      </c>
    </row>
    <row r="13" spans="1:6" x14ac:dyDescent="0.25">
      <c r="A13" s="19" t="s">
        <v>49</v>
      </c>
      <c r="B13" s="20">
        <f>B9+B10+B11+B12</f>
        <v>3907797252.9008994</v>
      </c>
      <c r="C13" s="20">
        <f>C9+C10+C11+C12</f>
        <v>4071421270.457875</v>
      </c>
      <c r="D13" s="20">
        <f>D9+D10+D11+D12</f>
        <v>4241896416.0004706</v>
      </c>
      <c r="E13" s="20">
        <f>E9+E10+E11+E12</f>
        <v>4419509554.228481</v>
      </c>
      <c r="F13" s="20">
        <f>F9+F10+F11+F12</f>
        <v>4604559561.200437</v>
      </c>
    </row>
    <row r="14" spans="1:6" x14ac:dyDescent="0.25">
      <c r="A14" t="s">
        <v>50</v>
      </c>
      <c r="B14" s="21">
        <f>1/(1+Assumptions!$B$26)^(1-0.5*Assumptions!$B$32)</f>
        <v>0.9720900455582474</v>
      </c>
      <c r="C14" s="21">
        <f>1/(1+Assumptions!$B$26)^(2-0.5*Assumptions!$B$32)</f>
        <v>0.9185852924523588</v>
      </c>
      <c r="D14" s="21">
        <f>1/(1+Assumptions!$B$26)^(3-0.5*Assumptions!$B$32)</f>
        <v>0.8680254914298728</v>
      </c>
      <c r="E14" s="21">
        <f>1/(1+Assumptions!$B$26)^(4-0.5*Assumptions!$B$32)</f>
        <v>0.8202485495500682</v>
      </c>
      <c r="F14" s="21">
        <f>1/(1+Assumptions!$B$26)^(5-0.5*Assumptions!$B$32)</f>
        <v>0.7751012956205862</v>
      </c>
    </row>
    <row r="15" spans="1:6" x14ac:dyDescent="0.25">
      <c r="A15" s="19" t="s">
        <v>51</v>
      </c>
      <c r="B15" s="20">
        <f>B13*B14</f>
        <v>3798730809.6048293</v>
      </c>
      <c r="C15" s="20">
        <f>C13*C14</f>
        <v>3739947698.420301</v>
      </c>
      <c r="D15" s="20">
        <f>D13*D14</f>
        <v>3682074221.093425</v>
      </c>
      <c r="E15" s="20">
        <f>E13*E14</f>
        <v>3625096301.5785804</v>
      </c>
      <c r="F15" s="20">
        <f>F13*F14</f>
        <v>3569000081.6486163</v>
      </c>
    </row>
    <row r="17" spans="1:2" x14ac:dyDescent="0.25">
      <c r="A17" s="22" t="s">
        <v>52</v>
      </c>
      <c r="B17" s="23">
        <f>SUM(B15:F15)</f>
        <v>18414849112.345753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4604559561.200437</v>
      </c>
    </row>
    <row r="5" spans="1:2" x14ac:dyDescent="0.25">
      <c r="A5" t="s">
        <v>56</v>
      </c>
      <c r="B5" s="18">
        <f>IF(Assumptions!$B$33=0,B4,B4-Forecast!F11-Forecast!F10-Forecast!F12)</f>
        <v>4439108415.117299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0.18746355774211437</v>
      </c>
    </row>
    <row r="7" spans="1:2" x14ac:dyDescent="0.25">
      <c r="A7" t="s">
        <v>58</v>
      </c>
      <c r="B7" s="18">
        <f>-MAX(Forecast!F9,0)*B6</f>
        <v>-832171056.7008476</v>
      </c>
    </row>
    <row r="8" spans="1:2" x14ac:dyDescent="0.25">
      <c r="A8" t="s">
        <v>59</v>
      </c>
      <c r="B8" s="18">
        <f>IF(OR(Assumptions!$B$33=0,Assumptions!B12&lt;=0),B5,MAX(B5+B7,0))</f>
        <v>3606937358.4164515</v>
      </c>
    </row>
    <row r="9" spans="1:2" x14ac:dyDescent="0.25">
      <c r="A9" t="s">
        <v>60</v>
      </c>
      <c r="B9" s="18">
        <f>B8*(1+Assumptions!B12)/(Assumptions!B26-Assumptions!B12)</f>
        <v>111201642628.96446</v>
      </c>
    </row>
    <row r="10" spans="1:2" x14ac:dyDescent="0.25">
      <c r="A10" t="s">
        <v>61</v>
      </c>
      <c r="B10" s="18">
        <f>B9/(1+Assumptions!B26)^(5-0.5*Assumptions!B32)</f>
        <v>86192537276.84776</v>
      </c>
    </row>
    <row r="11" spans="1:2" x14ac:dyDescent="0.25">
      <c r="A11" t="s">
        <v>62</v>
      </c>
      <c r="B11" s="18">
        <f>Forecast!B17+B10</f>
        <v>104607386389.19351</v>
      </c>
    </row>
    <row r="12" spans="1:2" x14ac:dyDescent="0.25">
      <c r="A12" t="s">
        <v>63</v>
      </c>
      <c r="B12" s="18">
        <f>-Assumptions!B30</f>
        <v>-15264000000</v>
      </c>
    </row>
    <row r="13" spans="1:2" x14ac:dyDescent="0.25">
      <c r="A13" t="s">
        <v>64</v>
      </c>
      <c r="B13" s="18">
        <f>B11+B12</f>
        <v>89343386389.19351</v>
      </c>
    </row>
    <row r="14" spans="1:2" x14ac:dyDescent="0.25">
      <c r="A14" s="19" t="s">
        <v>65</v>
      </c>
      <c r="B14" s="24">
        <f>B13/Assumptions!B31</f>
        <v>74.49006702450684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8605162997.325415</v>
      </c>
    </row>
    <row r="18" spans="1:2" x14ac:dyDescent="0.25">
      <c r="A18" t="s">
        <v>60</v>
      </c>
      <c r="B18" s="18">
        <f>B17*Assumptions!B13</f>
        <v>104204653204.4102</v>
      </c>
    </row>
    <row r="19" spans="1:2" x14ac:dyDescent="0.25">
      <c r="A19" t="s">
        <v>61</v>
      </c>
      <c r="B19" s="18">
        <f>B18/(1+Assumptions!B26)^(5-0.5*Assumptions!B32)</f>
        <v>80769161708.43222</v>
      </c>
    </row>
    <row r="20" spans="1:2" x14ac:dyDescent="0.25">
      <c r="A20" t="s">
        <v>62</v>
      </c>
      <c r="B20" s="18">
        <f>Forecast!B17+B19</f>
        <v>99184010820.77797</v>
      </c>
    </row>
    <row r="21" spans="1:2" x14ac:dyDescent="0.25">
      <c r="A21" t="s">
        <v>63</v>
      </c>
      <c r="B21" s="18">
        <f>-Assumptions!B30</f>
        <v>-15264000000</v>
      </c>
    </row>
    <row r="22" spans="1:2" x14ac:dyDescent="0.25">
      <c r="A22" t="s">
        <v>64</v>
      </c>
      <c r="B22" s="18">
        <f>B20+B21</f>
        <v>83920010820.77797</v>
      </c>
    </row>
    <row r="23" spans="1:2" x14ac:dyDescent="0.25">
      <c r="A23" s="19" t="s">
        <v>65</v>
      </c>
      <c r="B23" s="25">
        <f>B22/Assumptions!B31</f>
        <v>69.96832651390525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61.8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74.49006702450684</v>
      </c>
    </row>
    <row r="29" spans="1:2" x14ac:dyDescent="0.25">
      <c r="A29" s="19" t="s">
        <v>73</v>
      </c>
      <c r="B29" s="12">
        <f>B28/B26-1</f>
        <v>0.20534089036418846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0.038247</v>
      </c>
      <c r="B5" s="31">
        <v>124.50482476497785</v>
      </c>
      <c r="C5" s="31">
        <v>151.90578551734885</v>
      </c>
      <c r="D5" s="31">
        <v>199.90292754000163</v>
      </c>
      <c r="E5" s="31">
        <v>305.95747540602036</v>
      </c>
      <c r="F5" s="31">
        <v>738.2742605445684</v>
      </c>
    </row>
    <row r="6" spans="1:6" x14ac:dyDescent="0.25">
      <c r="A6" s="30">
        <v>0.048247</v>
      </c>
      <c r="B6" s="31">
        <v>84.11445424515159</v>
      </c>
      <c r="C6" s="31">
        <v>94.89077981686724</v>
      </c>
      <c r="D6" s="31">
        <v>110.25439581381542</v>
      </c>
      <c r="E6" s="31">
        <v>133.97629781765272</v>
      </c>
      <c r="F6" s="31">
        <v>175.52083927469442</v>
      </c>
    </row>
    <row r="7" spans="1:6" x14ac:dyDescent="0.25">
      <c r="A7" s="30">
        <v>0.058247</v>
      </c>
      <c r="B7" s="31">
        <v>62.382687466062286</v>
      </c>
      <c r="C7" s="31">
        <v>67.65894398042626</v>
      </c>
      <c r="D7" s="32">
        <v>74.4898369935419</v>
      </c>
      <c r="E7" s="31">
        <v>83.70092488262712</v>
      </c>
      <c r="F7" s="31">
        <v>96.82801541382564</v>
      </c>
    </row>
    <row r="8" spans="1:6" x14ac:dyDescent="0.25">
      <c r="A8" s="30">
        <v>0.068247</v>
      </c>
      <c r="B8" s="31">
        <v>48.798027266254266</v>
      </c>
      <c r="C8" s="31">
        <v>51.692545021108224</v>
      </c>
      <c r="D8" s="31">
        <v>55.23252220437253</v>
      </c>
      <c r="E8" s="31">
        <v>59.67110001473355</v>
      </c>
      <c r="F8" s="31">
        <v>65.41369877301571</v>
      </c>
    </row>
    <row r="9" spans="1:6" x14ac:dyDescent="0.25">
      <c r="A9" s="30">
        <v>0.078247</v>
      </c>
      <c r="B9" s="31">
        <v>39.496820854767684</v>
      </c>
      <c r="C9" s="31">
        <v>41.19046138084567</v>
      </c>
      <c r="D9" s="31">
        <v>43.183606978674256</v>
      </c>
      <c r="E9" s="31">
        <v>45.56937382286038</v>
      </c>
      <c r="F9" s="31">
        <v>48.48394057771283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63903000000</v>
      </c>
      <c r="C5" s="18">
        <v>60123000000</v>
      </c>
      <c r="D5" s="18">
        <v>59529000000</v>
      </c>
      <c r="E5" s="18">
        <v>56504000000</v>
      </c>
      <c r="F5" s="8" t="s">
        <v>84</v>
      </c>
    </row>
    <row r="6" spans="1:6" x14ac:dyDescent="0.25">
      <c r="A6" t="s">
        <v>44</v>
      </c>
      <c r="B6" s="18">
        <v>4424000000</v>
      </c>
      <c r="C6" s="18">
        <v>3474000000</v>
      </c>
      <c r="D6" s="18">
        <v>3704000000</v>
      </c>
      <c r="E6" s="18">
        <v>3342000000</v>
      </c>
      <c r="F6" s="8" t="s">
        <v>85</v>
      </c>
    </row>
    <row r="7" spans="1:6" x14ac:dyDescent="0.25">
      <c r="A7" t="s">
        <v>86</v>
      </c>
      <c r="B7" s="18">
        <v>2734000000</v>
      </c>
      <c r="C7" s="18">
        <v>2965000000</v>
      </c>
      <c r="D7" s="18">
        <v>2906000000</v>
      </c>
      <c r="E7" s="18">
        <v>2795000000</v>
      </c>
      <c r="F7" s="8" t="s">
        <v>87</v>
      </c>
    </row>
    <row r="8" spans="1:6" x14ac:dyDescent="0.25">
      <c r="A8" t="s">
        <v>88</v>
      </c>
      <c r="B8" s="18">
        <v>2062000000</v>
      </c>
      <c r="C8" s="18">
        <v>2200000000</v>
      </c>
      <c r="D8" s="18">
        <v>2072000000</v>
      </c>
      <c r="E8" s="18">
        <v>1571000000</v>
      </c>
      <c r="F8" s="8" t="s">
        <v>89</v>
      </c>
    </row>
    <row r="9" spans="1:6" x14ac:dyDescent="0.25">
      <c r="A9" t="s">
        <v>90</v>
      </c>
      <c r="B9" s="18">
        <v>289000000</v>
      </c>
      <c r="C9" s="18">
        <v>-135000000</v>
      </c>
      <c r="D9" s="18">
        <v>168000000</v>
      </c>
      <c r="E9" s="18">
        <v>1007000000</v>
      </c>
      <c r="F9" s="8" t="s">
        <v>91</v>
      </c>
    </row>
    <row r="10" spans="1:6" x14ac:dyDescent="0.25">
      <c r="A10" t="s">
        <v>92</v>
      </c>
      <c r="B10" s="18">
        <v>16305000000</v>
      </c>
      <c r="C10" s="18">
        <v>19184000000</v>
      </c>
      <c r="D10" s="18">
        <v>18173000000</v>
      </c>
      <c r="E10" s="18">
        <v>17606000000</v>
      </c>
      <c r="F10" s="8" t="s">
        <v>93</v>
      </c>
    </row>
    <row r="11" spans="1:6" x14ac:dyDescent="0.25">
      <c r="A11" t="s">
        <v>94</v>
      </c>
      <c r="B11" s="18">
        <v>1041000000</v>
      </c>
      <c r="C11" s="18">
        <v>2110000000</v>
      </c>
      <c r="D11" s="18">
        <v>1952000000</v>
      </c>
      <c r="E11" s="18">
        <v>1934000000</v>
      </c>
      <c r="F11" s="8" t="s">
        <v>95</v>
      </c>
    </row>
    <row r="12" spans="1:6" x14ac:dyDescent="0.25">
      <c r="A12" t="s">
        <v>32</v>
      </c>
      <c r="B12" s="34">
        <v>1199400000</v>
      </c>
      <c r="C12" s="34">
        <v>1234000000</v>
      </c>
      <c r="D12" s="34">
        <v>1280000000</v>
      </c>
      <c r="E12" s="34">
        <v>1326800000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2026-09-19T00:06:31Z</dcterms:modified>
</cp:coreProperties>
</file>