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<sst xmlns="http://schemas.openxmlformats.org/spreadsheetml/2006/main" count="114" uniqueCount="102">
  <si>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Land Securities Group Plc (LAND.L)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</si>
  <si>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</si>
  <si>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</si>
  <si>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</si>
  <si>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</si>
  <si>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</si>
  <si>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</si>
  <si>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</si>
  <si>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</si>
  <si>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</si>
  <si>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</si>
  <si>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</si>
  <si>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</si>
  <si>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</si>
  <si>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</si>
  <si>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</si>
  <si>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</si>
  <si>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</si>
  <si>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</si>
  <si>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</si>
  <si>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</si>
  <si>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</si>
  <si>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</si>
  <si>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</si>
  <si>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</si>
  <si>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</si>
  <si>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</si>
  <si>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</si>
  <si>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</si>
  <si>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</si>
  <si>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2026-03-31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</si>
  <si>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</si>
  <si>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</si>
  <si>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</si>
  <si>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</si>
  <si>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</si>
  <si>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</si>
  <si>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</si>
  <si>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</si>
  <si>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</si>
  <si>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</si>
  <si>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</si>
  <si>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</si>
  <si>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</si>
  <si>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</si>
  <si>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</si>
  <si>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</si>
  <si>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</si>
  <si>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</si>
  <si>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</si>
  <si>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</si>
  <si>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</si>
  <si>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</si>
  <si>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</si>
  <si>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</si>
  <si>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</si>
  <si>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</si>
  <si>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</si>
  <si>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</si>
  <si>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</si>
  <si>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</si>
  <si>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</si>
  <si>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</si>
  <si>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</si>
  <si>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</si>
  <si>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</si>
  <si>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</si>
  <si>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</si>
  <si>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</si>
  <si>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</si>
  <si>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</si>
  <si>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</si>
  <si>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</si>
  <si>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</si>
  <si>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</si>
  <si>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</si>
  <si>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</si>
  <si>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</si>
  <si>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</si>
  <si>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</si>
  <si>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</si>
  <si>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</si>
  <si>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</si>
  <si>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</si>
  <si>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</si>
  <si>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</si>
  <si>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</si>
  <si>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</si>
  <si>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</si>
  <si>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</si>
  <si>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</si>
  <si>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</si>
  <si>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</si>
  <si>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</si>
  <si>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</si>
  <si>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</si>
  <si>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</si>
  <si>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</si>
  <si>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16.2% of revenue against depreciation of 0.5%.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</si>
  <si>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GBP assumption - no free live source available for this market.</t>
  </si>
  <si>
    <t>Current EV/EBITDA of 21.3x sits outside a defensible 3-20x band, so the exit multiple is capped at 20.0x. A multiple that far out usually means EBITDA is the wrong denominator for this business.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</si>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</sst>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0.032240567524543406</v>
      </c>
    </row>
    <row r="7" spans="1:2" x14ac:dyDescent="0.25">
      <c r="A7" t="s">
        <v>5</v>
      </c>
      <c r="B7" s="6">
        <v>0.5186872471999939</v>
      </c>
    </row>
    <row r="8" spans="1:2" x14ac:dyDescent="0.25">
      <c r="A8" t="s">
        <v>6</v>
      </c>
      <c r="B8" s="6">
        <v>0.005780346820809248</v>
      </c>
    </row>
    <row r="9" spans="1:2" x14ac:dyDescent="0.25">
      <c r="A9" t="s">
        <v>7</v>
      </c>
      <c r="B9" s="6">
        <v>0.004857862404400722</v>
      </c>
    </row>
    <row r="10" spans="1:2" x14ac:dyDescent="0.25">
      <c r="A10" t="s">
        <v>8</v>
      </c>
      <c r="B10" s="6">
        <v>0.1616855738653602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0.07562829620892955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1.09849</v>
      </c>
      <c r="C19" s="8" t="s">
        <v>19</v>
      </c>
    </row>
    <row r="20" spans="1:2" x14ac:dyDescent="0.25">
      <c r="A20" t="s">
        <v>20</v>
      </c>
      <c r="B20" s="10">
        <f>B17+B19*B18</f>
        <v>0.10541695</v>
      </c>
    </row>
    <row r="21" spans="1:3" x14ac:dyDescent="0.25">
      <c r="A21" t="s">
        <v>21</v>
      </c>
      <c r="B21" s="6">
        <v>0.045</v>
      </c>
      <c r="C21" s="8" t="s">
        <v>22</v>
      </c>
    </row>
    <row r="22" spans="1:2" x14ac:dyDescent="0.25">
      <c r="A22" t="s">
        <v>23</v>
      </c>
      <c r="B22" s="11">
        <v>4660949504</v>
      </c>
    </row>
    <row r="23" spans="1:2" x14ac:dyDescent="0.25">
      <c r="A23" t="s">
        <v>24</v>
      </c>
      <c r="B23" s="11">
        <v>4495000000</v>
      </c>
    </row>
    <row r="24" spans="1:2" x14ac:dyDescent="0.25">
      <c r="A24" t="s">
        <v>25</v>
      </c>
      <c r="B24" s="10">
        <f>B22/(B22+B23)</f>
        <v>0.5090623863711514</v>
      </c>
    </row>
    <row r="25" spans="1:2" x14ac:dyDescent="0.25">
      <c r="A25" t="s">
        <v>26</v>
      </c>
      <c r="B25" s="10">
        <f>1-B24</f>
        <v>0.4909376136288486</v>
      </c>
    </row>
    <row r="26" spans="1:2" x14ac:dyDescent="0.25">
      <c r="A26" t="s">
        <v>27</v>
      </c>
      <c r="B26" s="12">
        <f>B24*B20+B25*B21*(1-B8)</f>
        <v>0.07562829620892955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870000000</v>
      </c>
      <c r="C29" s="8" t="s">
        <v>30</v>
      </c>
    </row>
    <row r="30" spans="1:2" x14ac:dyDescent="0.25">
      <c r="A30" t="s">
        <v>31</v>
      </c>
      <c r="B30" s="11">
        <v>4389000000</v>
      </c>
    </row>
    <row r="31" spans="1:2" x14ac:dyDescent="0.25">
      <c r="A31" t="s">
        <v>32</v>
      </c>
      <c r="B31" s="13">
        <v>747000000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0.032240567524543406</v>
      </c>
      <c r="C5" s="10">
        <f>Assumptions!B6</f>
        <v>0.032240567524543406</v>
      </c>
      <c r="D5" s="10">
        <f>Assumptions!B6</f>
        <v>0.032240567524543406</v>
      </c>
      <c r="E5" s="10">
        <f>Assumptions!B6</f>
        <v>0.032240567524543406</v>
      </c>
      <c r="F5" s="10">
        <f>Assumptions!B6</f>
        <v>0.032240567524543406</v>
      </c>
    </row>
    <row r="6" spans="1:6" x14ac:dyDescent="0.25">
      <c r="A6" t="s">
        <v>43</v>
      </c>
      <c r="B6" s="18">
        <f>Assumptions!B29*(1+B5)</f>
        <v>898049293.7463528</v>
      </c>
      <c r="C6" s="18">
        <f>B6*(1+C5)</f>
        <v>927002912.6417506</v>
      </c>
      <c r="D6" s="18">
        <f>C6*(1+D5)</f>
        <v>956890012.6422254</v>
      </c>
      <c r="E6" s="18">
        <f>D6*(1+E5)</f>
        <v>987740689.7083782</v>
      </c>
      <c r="F6" s="18">
        <f>E6*(1+F5)</f>
        <v>1019586010.1116602</v>
      </c>
    </row>
    <row r="7" spans="1:6" x14ac:dyDescent="0.25">
      <c r="A7" t="s">
        <v>5</v>
      </c>
      <c r="B7" s="10">
        <f>Assumptions!B7</f>
        <v>0.5186872471999939</v>
      </c>
      <c r="C7" s="10">
        <f>Assumptions!B7</f>
        <v>0.5186872471999939</v>
      </c>
      <c r="D7" s="10">
        <f>Assumptions!B7</f>
        <v>0.5186872471999939</v>
      </c>
      <c r="E7" s="10">
        <f>Assumptions!B7</f>
        <v>0.5186872471999939</v>
      </c>
      <c r="F7" s="10">
        <f>Assumptions!B7</f>
        <v>0.5186872471999939</v>
      </c>
    </row>
    <row r="8" spans="1:6" x14ac:dyDescent="0.25">
      <c r="A8" t="s">
        <v>44</v>
      </c>
      <c r="B8" s="18">
        <f>B6*B7</f>
        <v>465806716.02319443</v>
      </c>
      <c r="C8" s="18">
        <f>C6*C7</f>
        <v>480824588.90452605</v>
      </c>
      <c r="D8" s="18">
        <f>D6*D7</f>
        <v>496326646.5305633</v>
      </c>
      <c r="E8" s="18">
        <f>E6*E7</f>
        <v>512328499.2922621</v>
      </c>
      <c r="F8" s="18">
        <f>F6*F7</f>
        <v>528846260.86844224</v>
      </c>
    </row>
    <row r="9" spans="1:6" x14ac:dyDescent="0.25">
      <c r="A9" t="s">
        <v>45</v>
      </c>
      <c r="B9" s="18">
        <f>B8*(1-Assumptions!B8)</f>
        <v>463114191.65311813</v>
      </c>
      <c r="C9" s="18">
        <f>C8*(1-Assumptions!B8)</f>
        <v>478045256.02068484</v>
      </c>
      <c r="D9" s="18">
        <f>D8*(1-Assumptions!B8)</f>
        <v>493457706.3772074</v>
      </c>
      <c r="E9" s="18">
        <f>E8*(1-Assumptions!B8)</f>
        <v>509367062.880168</v>
      </c>
      <c r="F9" s="18">
        <f>F8*(1-Assumptions!B8)</f>
        <v>525789346.06573445</v>
      </c>
    </row>
    <row r="10" spans="1:6" x14ac:dyDescent="0.25">
      <c r="A10" t="s">
        <v>46</v>
      </c>
      <c r="B10" s="18">
        <f>B6*Assumptions!B9</f>
        <v>4362599.901389028</v>
      </c>
      <c r="C10" s="18">
        <f>C6*Assumptions!B9</f>
        <v>4503252.598092327</v>
      </c>
      <c r="D10" s="18">
        <f>D6*Assumptions!B9</f>
        <v>4648440.017561198</v>
      </c>
      <c r="E10" s="18">
        <f>E6*Assumptions!B9</f>
        <v>4798308.36183117</v>
      </c>
      <c r="F10" s="18">
        <f>F6*Assumptions!B9</f>
        <v>4953008.546574369</v>
      </c>
    </row>
    <row r="11" spans="1:6" x14ac:dyDescent="0.25">
      <c r="A11" t="s">
        <v>47</v>
      </c>
      <c r="B11" s="18">
        <f>-B6*Assumptions!B10</f>
        <v>-145201615.41876048</v>
      </c>
      <c r="C11" s="18">
        <f>-C6*Assumptions!B10</f>
        <v>-149882997.9053418</v>
      </c>
      <c r="D11" s="18">
        <f>-D6*Assumptions!B10</f>
        <v>-154715310.82009</v>
      </c>
      <c r="E11" s="18">
        <f>-E6*Assumptions!B10</f>
        <v>-159703420.24566582</v>
      </c>
      <c r="F11" s="18">
        <f>-F6*Assumptions!B10</f>
        <v>-164852349.14999673</v>
      </c>
    </row>
    <row r="12" spans="1:6" x14ac:dyDescent="0.25">
      <c r="A12" t="s">
        <v>48</v>
      </c>
      <c r="B12" s="18">
        <f>-(B6-Assumptions!B29)*Assumptions!B11</f>
        <v>-28049293.74635279</v>
      </c>
      <c r="C12" s="18">
        <f>-(C6-B6)*Assumptions!B11</f>
        <v>-28953618.895397782</v>
      </c>
      <c r="D12" s="18">
        <f>-(D6-C6)*Assumptions!B11</f>
        <v>-29887100.00047481</v>
      </c>
      <c r="E12" s="18">
        <f>-(E6-D6)*Assumptions!B11</f>
        <v>-30850677.06615281</v>
      </c>
      <c r="F12" s="18">
        <f>-(F6-E6)*Assumptions!B11</f>
        <v>-31845320.403282046</v>
      </c>
    </row>
    <row r="13" spans="1:6" x14ac:dyDescent="0.25">
      <c r="A13" s="19" t="s">
        <v>49</v>
      </c>
      <c r="B13" s="20">
        <f>B9+B10+B11+B12</f>
        <v>294225882.38939387</v>
      </c>
      <c r="C13" s="20">
        <f>C9+C10+C11+C12</f>
        <v>303711891.81803757</v>
      </c>
      <c r="D13" s="20">
        <f>D9+D10+D11+D12</f>
        <v>313503735.5742038</v>
      </c>
      <c r="E13" s="20">
        <f>E9+E10+E11+E12</f>
        <v>323611273.93018055</v>
      </c>
      <c r="F13" s="20">
        <f>F9+F10+F11+F12</f>
        <v>334044685.05903006</v>
      </c>
    </row>
    <row r="14" spans="1:6" x14ac:dyDescent="0.25">
      <c r="A14" t="s">
        <v>50</v>
      </c>
      <c r="B14" s="21">
        <f>1/(1+Assumptions!$B$26)^(1-0.5*Assumptions!$B$32)</f>
        <v>0.9642039154231413</v>
      </c>
      <c r="C14" s="21">
        <f>1/(1+Assumptions!$B$26)^(2-0.5*Assumptions!$B$32)</f>
        <v>0.8964099576233674</v>
      </c>
      <c r="D14" s="21">
        <f>1/(1+Assumptions!$B$26)^(3-0.5*Assumptions!$B$32)</f>
        <v>0.8333826478745302</v>
      </c>
      <c r="E14" s="21">
        <f>1/(1+Assumptions!$B$26)^(4-0.5*Assumptions!$B$32)</f>
        <v>0.7747868392936497</v>
      </c>
      <c r="F14" s="21">
        <f>1/(1+Assumptions!$B$26)^(5-0.5*Assumptions!$B$32)</f>
        <v>0.7203109494463833</v>
      </c>
    </row>
    <row r="15" spans="1:6" x14ac:dyDescent="0.25">
      <c r="A15" s="19" t="s">
        <v>51</v>
      </c>
      <c r="B15" s="20">
        <f>B13*B14</f>
        <v>283693747.81868225</v>
      </c>
      <c r="C15" s="20">
        <f>C13*C14</f>
        <v>272250364.0743198</v>
      </c>
      <c r="D15" s="20">
        <f>D13*D14</f>
        <v>261268573.2713865</v>
      </c>
      <c r="E15" s="20">
        <f>E13*E14</f>
        <v>250729756.08815604</v>
      </c>
      <c r="F15" s="20">
        <f>F13*F14</f>
        <v>240616044.25238803</v>
      </c>
    </row>
    <row r="17" spans="1:2" x14ac:dyDescent="0.25">
      <c r="A17" s="22" t="s">
        <v>52</v>
      </c>
      <c r="B17" s="23">
        <f>SUM(B15:F15)</f>
        <v>1308558485.5049326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334044685.05903006</v>
      </c>
    </row>
    <row r="5" spans="1:2" x14ac:dyDescent="0.25">
      <c r="A5" t="s">
        <v>56</v>
      </c>
      <c r="B5" s="18">
        <f>IF(Assumptions!$B$33=0,B4,B4-Forecast!F11-Forecast!F10-Forecast!F12)</f>
        <v>525789346.06573445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0.33056410435236294</v>
      </c>
    </row>
    <row r="7" spans="1:2" x14ac:dyDescent="0.25">
      <c r="A7" t="s">
        <v>58</v>
      </c>
      <c r="B7" s="18">
        <f>-MAX(Forecast!F9,0)*B6</f>
        <v>-173807084.26023412</v>
      </c>
    </row>
    <row r="8" spans="1:2" x14ac:dyDescent="0.25">
      <c r="A8" t="s">
        <v>59</v>
      </c>
      <c r="B8" s="18">
        <f>IF(OR(Assumptions!$B$33=0,Assumptions!B12&lt;=0),B5,MAX(B5+B7,0))</f>
        <v>351982261.8055003</v>
      </c>
    </row>
    <row r="9" spans="1:2" x14ac:dyDescent="0.25">
      <c r="A9" t="s">
        <v>60</v>
      </c>
      <c r="B9" s="18">
        <f>B8*(1+Assumptions!B12)/(Assumptions!B26-Assumptions!B12)</f>
        <v>7126090454.669597</v>
      </c>
    </row>
    <row r="10" spans="1:2" x14ac:dyDescent="0.25">
      <c r="A10" t="s">
        <v>61</v>
      </c>
      <c r="B10" s="18">
        <f>B9/(1+Assumptions!B26)^(5-0.5*Assumptions!B32)</f>
        <v>5133000981.243866</v>
      </c>
    </row>
    <row r="11" spans="1:2" x14ac:dyDescent="0.25">
      <c r="A11" t="s">
        <v>62</v>
      </c>
      <c r="B11" s="18">
        <f>Forecast!B17+B10</f>
        <v>6441559466.748798</v>
      </c>
    </row>
    <row r="12" spans="1:2" x14ac:dyDescent="0.25">
      <c r="A12" t="s">
        <v>63</v>
      </c>
      <c r="B12" s="18">
        <f>-Assumptions!B30</f>
        <v>-4389000000</v>
      </c>
    </row>
    <row r="13" spans="1:2" x14ac:dyDescent="0.25">
      <c r="A13" t="s">
        <v>64</v>
      </c>
      <c r="B13" s="18">
        <f>B11+B12</f>
        <v>2052559466.7487984</v>
      </c>
    </row>
    <row r="14" spans="1:2" x14ac:dyDescent="0.25">
      <c r="A14" s="19" t="s">
        <v>65</v>
      </c>
      <c r="B14" s="24">
        <f>B13/Assumptions!B31</f>
        <v>2.7477369032781773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533799269.4150166</v>
      </c>
    </row>
    <row r="18" spans="1:2" x14ac:dyDescent="0.25">
      <c r="A18" t="s">
        <v>60</v>
      </c>
      <c r="B18" s="18">
        <f>B17*Assumptions!B13</f>
        <v>10675985388.300331</v>
      </c>
    </row>
    <row r="19" spans="1:2" x14ac:dyDescent="0.25">
      <c r="A19" t="s">
        <v>61</v>
      </c>
      <c r="B19" s="18">
        <f>B18/(1+Assumptions!B26)^(5-0.5*Assumptions!B32)</f>
        <v>7690029171.322327</v>
      </c>
    </row>
    <row r="20" spans="1:2" x14ac:dyDescent="0.25">
      <c r="A20" t="s">
        <v>62</v>
      </c>
      <c r="B20" s="18">
        <f>Forecast!B17+B19</f>
        <v>8998587656.82726</v>
      </c>
    </row>
    <row r="21" spans="1:2" x14ac:dyDescent="0.25">
      <c r="A21" t="s">
        <v>63</v>
      </c>
      <c r="B21" s="18">
        <f>-Assumptions!B30</f>
        <v>-4389000000</v>
      </c>
    </row>
    <row r="22" spans="1:2" x14ac:dyDescent="0.25">
      <c r="A22" t="s">
        <v>64</v>
      </c>
      <c r="B22" s="18">
        <f>B20+B21</f>
        <v>4609587656.827259</v>
      </c>
    </row>
    <row r="23" spans="1:2" x14ac:dyDescent="0.25">
      <c r="A23" s="19" t="s">
        <v>65</v>
      </c>
      <c r="B23" s="25">
        <f>B22/Assumptions!B31</f>
        <v>6.1708000760739745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625.5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274.77369032781775</v>
      </c>
    </row>
    <row r="29" spans="1:2" x14ac:dyDescent="0.25">
      <c r="A29" s="19" t="s">
        <v>73</v>
      </c>
      <c r="B29" s="12">
        <f>B28/B26-1</f>
        <v>-0.5607135246557671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0.055628</v>
      </c>
      <c r="B5" s="31">
        <v>6.024397889028434</v>
      </c>
      <c r="C5" s="31">
        <v>6.073984985951195</v>
      </c>
      <c r="D5" s="31">
        <v>6.123572082873948</v>
      </c>
      <c r="E5" s="31">
        <v>6.173159179796704</v>
      </c>
      <c r="F5" s="31">
        <v>6.22274627671946</v>
      </c>
    </row>
    <row r="6" spans="1:6" x14ac:dyDescent="0.25">
      <c r="A6" s="30">
        <v>0.065628</v>
      </c>
      <c r="B6" s="31">
        <v>4.09433355701064</v>
      </c>
      <c r="C6" s="31">
        <v>4.134618867019097</v>
      </c>
      <c r="D6" s="31">
        <v>4.174904177027551</v>
      </c>
      <c r="E6" s="31">
        <v>4.215189487036009</v>
      </c>
      <c r="F6" s="31">
        <v>4.2554747970444655</v>
      </c>
    </row>
    <row r="7" spans="1:6" x14ac:dyDescent="0.25">
      <c r="A7" s="30">
        <v>0.075628</v>
      </c>
      <c r="B7" s="31">
        <v>2.6807342524536764</v>
      </c>
      <c r="C7" s="31">
        <v>2.7142538753119076</v>
      </c>
      <c r="D7" s="32">
        <v>2.747773498170139</v>
      </c>
      <c r="E7" s="31">
        <v>2.781293121028373</v>
      </c>
      <c r="F7" s="31">
        <v>2.814812743886603</v>
      </c>
    </row>
    <row r="8" spans="1:6" x14ac:dyDescent="0.25">
      <c r="A8" s="30">
        <v>0.085628</v>
      </c>
      <c r="B8" s="31">
        <v>1.6023403154951246</v>
      </c>
      <c r="C8" s="31">
        <v>1.630737855654267</v>
      </c>
      <c r="D8" s="31">
        <v>1.6591353958134083</v>
      </c>
      <c r="E8" s="31">
        <v>1.6875329359725508</v>
      </c>
      <c r="F8" s="31">
        <v>1.715930476131692</v>
      </c>
    </row>
    <row r="9" spans="1:6" x14ac:dyDescent="0.25">
      <c r="A9" s="30">
        <v>0.095628</v>
      </c>
      <c r="B9" s="31">
        <v>0.7537296054269773</v>
      </c>
      <c r="C9" s="31">
        <v>0.7781297309092173</v>
      </c>
      <c r="D9" s="31">
        <v>0.8025298563914574</v>
      </c>
      <c r="E9" s="31">
        <v>0.8269299818736974</v>
      </c>
      <c r="F9" s="31">
        <v>0.8513301073559374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870000000</v>
      </c>
      <c r="C5" s="18">
        <v>832000000</v>
      </c>
      <c r="D5" s="18">
        <v>824000000</v>
      </c>
      <c r="E5" s="18">
        <v>791000000</v>
      </c>
      <c r="F5" s="8" t="s">
        <v>84</v>
      </c>
    </row>
    <row r="6" spans="1:6" x14ac:dyDescent="0.25">
      <c r="A6" t="s">
        <v>44</v>
      </c>
      <c r="B6" s="18">
        <v>421000000</v>
      </c>
      <c r="C6" s="18">
        <v>438000000</v>
      </c>
      <c r="D6" s="18">
        <v>426000000</v>
      </c>
      <c r="E6" s="18">
        <v>433000000</v>
      </c>
      <c r="F6" s="8" t="s">
        <v>85</v>
      </c>
    </row>
    <row r="7" spans="1:6" x14ac:dyDescent="0.25">
      <c r="A7" t="s">
        <v>86</v>
      </c>
      <c r="B7" s="18">
        <v>3000000</v>
      </c>
      <c r="C7" s="18">
        <v>4000000</v>
      </c>
      <c r="D7" s="18">
        <v>4000000</v>
      </c>
      <c r="E7" s="18">
        <v>5000000</v>
      </c>
      <c r="F7" s="8" t="s">
        <v>87</v>
      </c>
    </row>
    <row r="8" spans="1:6" x14ac:dyDescent="0.25">
      <c r="A8" t="s">
        <v>88</v>
      </c>
      <c r="B8" s="18">
        <v>147000000</v>
      </c>
      <c r="C8" s="18">
        <v>163000000</v>
      </c>
      <c r="D8" s="18">
        <v>126000000</v>
      </c>
      <c r="E8" s="18">
        <v>102000000</v>
      </c>
      <c r="F8" s="8" t="s">
        <v>89</v>
      </c>
    </row>
    <row r="9" spans="1:6" x14ac:dyDescent="0.25">
      <c r="A9" t="s">
        <v>90</v>
      </c>
      <c r="B9" s="18">
        <v>127000000</v>
      </c>
      <c r="C9" s="18">
        <v>85000000</v>
      </c>
      <c r="D9" s="18">
        <v>46000000</v>
      </c>
      <c r="E9" s="18">
        <v>97000000</v>
      </c>
      <c r="F9" s="8" t="s">
        <v>91</v>
      </c>
    </row>
    <row r="10" spans="1:6" x14ac:dyDescent="0.25">
      <c r="A10" t="s">
        <v>92</v>
      </c>
      <c r="B10" s="18">
        <v>4495000000</v>
      </c>
      <c r="C10" s="18">
        <v>4554000000</v>
      </c>
      <c r="D10" s="18">
        <v>3780000000</v>
      </c>
      <c r="E10" s="18">
        <v>3538000000</v>
      </c>
      <c r="F10" s="8" t="s">
        <v>93</v>
      </c>
    </row>
    <row r="11" spans="1:6" x14ac:dyDescent="0.25">
      <c r="A11" t="s">
        <v>94</v>
      </c>
      <c r="B11" s="18">
        <v>106000000</v>
      </c>
      <c r="C11" s="18">
        <v>39000000</v>
      </c>
      <c r="D11" s="18">
        <v>78000000</v>
      </c>
      <c r="E11" s="18">
        <v>42000000</v>
      </c>
      <c r="F11" s="8" t="s">
        <v>95</v>
      </c>
    </row>
    <row r="12" spans="1:6" x14ac:dyDescent="0.25">
      <c r="A12" t="s">
        <v>32</v>
      </c>
      <c r="B12" s="34">
        <v>747000000</v>
      </c>
      <c r="C12" s="34">
        <v>747000000</v>
      </c>
      <c r="D12" s="34">
        <v>744000000</v>
      </c>
      <c r="E12" s="34">
        <v>744000000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2026-09-19T00:07:14Z</dcterms:modified>
</cp:coreProperties>
</file>