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<sst xmlns="http://schemas.openxmlformats.org/spreadsheetml/2006/main" count="113" uniqueCount="101">
  <si>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Leonardo S.p.a. (LDO.MI)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</si>
  <si>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</si>
  <si>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</si>
  <si>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</si>
  <si>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</si>
  <si>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</si>
  <si>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</si>
  <si>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</si>
  <si>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</si>
  <si>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</si>
  <si>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</si>
  <si>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</si>
  <si>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</si>
  <si>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</si>
  <si>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</si>
  <si>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</si>
  <si>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</si>
  <si>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</si>
  <si>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</si>
  <si>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</si>
  <si>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</si>
  <si>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</si>
  <si>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</si>
  <si>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</si>
  <si>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</si>
  <si>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</si>
  <si>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</si>
  <si>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</si>
  <si>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</si>
  <si>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</si>
  <si>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</si>
  <si>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</si>
  <si>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</si>
  <si>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</si>
  <si>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</si>
  <si>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</si>
  <si>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</si>
  <si>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</si>
  <si>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</si>
  <si>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</si>
  <si>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</si>
  <si>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</si>
  <si>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</si>
  <si>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</si>
  <si>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</si>
  <si>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</si>
  <si>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</si>
  <si>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</si>
  <si>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</si>
  <si>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</si>
  <si>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</si>
  <si>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</si>
  <si>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</si>
  <si>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</si>
  <si>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</si>
  <si>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</si>
  <si>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</si>
  <si>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</si>
  <si>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</si>
  <si>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</si>
  <si>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</si>
  <si>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</si>
  <si>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</si>
  <si>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</si>
  <si>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</si>
  <si>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</si>
  <si>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</si>
  <si>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</si>
  <si>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</si>
  <si>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</si>
  <si>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</si>
  <si>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</si>
  <si>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</si>
  <si>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</si>
  <si>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</si>
  <si>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</si>
  <si>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</si>
  <si>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</si>
  <si>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</si>
  <si>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</si>
  <si>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</si>
  <si>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</si>
  <si>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</si>
  <si>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</si>
  <si>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</si>
  <si>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</si>
  <si>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</si>
  <si>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</si>
  <si>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</si>
  <si>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</si>
  <si>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</si>
  <si>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</si>
  <si>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</si>
  <si>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</si>
  <si>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</si>
  <si>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</si>
  <si>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</si>
  <si>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</si>
  <si>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5.1% of revenue against depreciation of 3.6%.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</si>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</sst>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0.09850000170159401</v>
      </c>
    </row>
    <row r="7" spans="1:2" x14ac:dyDescent="0.25">
      <c r="A7" t="s">
        <v>5</v>
      </c>
      <c r="B7" s="6">
        <v>0.07204512147566774</v>
      </c>
    </row>
    <row r="8" spans="1:2" x14ac:dyDescent="0.25">
      <c r="A8" t="s">
        <v>6</v>
      </c>
      <c r="B8" s="6">
        <v>0.17378913080596065</v>
      </c>
    </row>
    <row r="9" spans="1:2" x14ac:dyDescent="0.25">
      <c r="A9" t="s">
        <v>7</v>
      </c>
      <c r="B9" s="6">
        <v>0.03641830177495581</v>
      </c>
    </row>
    <row r="10" spans="1:2" x14ac:dyDescent="0.25">
      <c r="A10" t="s">
        <v>8</v>
      </c>
      <c r="B10" s="6">
        <v>0.05135307749219939</v>
      </c>
    </row>
    <row r="11" spans="1:2" x14ac:dyDescent="0.25">
      <c r="A11" t="s">
        <v>9</v>
      </c>
      <c r="B11" s="6">
        <v>0.20114942528735633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12.82420468103084</v>
      </c>
    </row>
    <row r="14" spans="1:3" x14ac:dyDescent="0.25">
      <c r="A14" t="s">
        <v>12</v>
      </c>
      <c r="B14" s="6">
        <v>0.07569333891593777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0.57589</v>
      </c>
      <c r="C19" s="8" t="s">
        <v>19</v>
      </c>
    </row>
    <row r="20" spans="1:2" x14ac:dyDescent="0.25">
      <c r="A20" t="s">
        <v>20</v>
      </c>
      <c r="B20" s="10">
        <f>B17+B19*B18</f>
        <v>0.07943285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29103892480</v>
      </c>
    </row>
    <row r="23" spans="1:2" x14ac:dyDescent="0.25">
      <c r="A23" t="s">
        <v>24</v>
      </c>
      <c r="B23" s="11">
        <v>4489000000</v>
      </c>
    </row>
    <row r="24" spans="1:2" x14ac:dyDescent="0.25">
      <c r="A24" t="s">
        <v>25</v>
      </c>
      <c r="B24" s="10">
        <f>B22/(B22+B23)</f>
        <v>0.8663705424392202</v>
      </c>
    </row>
    <row r="25" spans="1:2" x14ac:dyDescent="0.25">
      <c r="A25" t="s">
        <v>26</v>
      </c>
      <c r="B25" s="10">
        <f>1-B24</f>
        <v>0.13362945756077982</v>
      </c>
    </row>
    <row r="26" spans="1:2" x14ac:dyDescent="0.25">
      <c r="A26" t="s">
        <v>27</v>
      </c>
      <c r="B26" s="12">
        <f>B24*B20+B25*B21*(1-B8)</f>
        <v>0.07345533797380444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19503000000</v>
      </c>
      <c r="C29" s="8" t="s">
        <v>30</v>
      </c>
    </row>
    <row r="30" spans="1:2" x14ac:dyDescent="0.25">
      <c r="A30" t="s">
        <v>31</v>
      </c>
      <c r="B30" s="11">
        <v>1251000000</v>
      </c>
    </row>
    <row r="31" spans="1:2" x14ac:dyDescent="0.25">
      <c r="A31" t="s">
        <v>32</v>
      </c>
      <c r="B31" s="13">
        <v>576772000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0.09850000170159401</v>
      </c>
      <c r="C5" s="10">
        <f>Assumptions!B6</f>
        <v>0.09850000170159401</v>
      </c>
      <c r="D5" s="10">
        <f>Assumptions!B6</f>
        <v>0.09850000170159401</v>
      </c>
      <c r="E5" s="10">
        <f>Assumptions!B6</f>
        <v>0.09850000170159401</v>
      </c>
      <c r="F5" s="10">
        <f>Assumptions!B6</f>
        <v>0.09850000170159401</v>
      </c>
    </row>
    <row r="6" spans="1:6" x14ac:dyDescent="0.25">
      <c r="A6" t="s">
        <v>43</v>
      </c>
      <c r="B6" s="18">
        <f>Assumptions!B29*(1+B5)</f>
        <v>21424045533.186188</v>
      </c>
      <c r="C6" s="18">
        <f>B6*(1+C5)</f>
        <v>23534314054.660053</v>
      </c>
      <c r="D6" s="18">
        <f>C6*(1+D5)</f>
        <v>25852444029.089916</v>
      </c>
      <c r="E6" s="18">
        <f>D6*(1+E5)</f>
        <v>28398909809.945637</v>
      </c>
      <c r="F6" s="18">
        <f>E6*(1+F5)</f>
        <v>31196202474.5487</v>
      </c>
    </row>
    <row r="7" spans="1:6" x14ac:dyDescent="0.25">
      <c r="A7" t="s">
        <v>5</v>
      </c>
      <c r="B7" s="10">
        <f>Assumptions!B7</f>
        <v>0.07204512147566774</v>
      </c>
      <c r="C7" s="10">
        <f>Assumptions!B7</f>
        <v>0.07204512147566774</v>
      </c>
      <c r="D7" s="10">
        <f>Assumptions!B7</f>
        <v>0.07204512147566774</v>
      </c>
      <c r="E7" s="10">
        <f>Assumptions!B7</f>
        <v>0.07204512147566774</v>
      </c>
      <c r="F7" s="10">
        <f>Assumptions!B7</f>
        <v>0.07204512147566774</v>
      </c>
    </row>
    <row r="8" spans="1:6" x14ac:dyDescent="0.25">
      <c r="A8" t="s">
        <v>44</v>
      </c>
      <c r="B8" s="18">
        <f>B6*B7</f>
        <v>1543497962.9386358</v>
      </c>
      <c r="C8" s="18">
        <f>C6*C7</f>
        <v>1695532514.9144983</v>
      </c>
      <c r="D8" s="18">
        <f>D6*D7</f>
        <v>1862542470.5186844</v>
      </c>
      <c r="E8" s="18">
        <f>E6*E7</f>
        <v>2046002907.0340657</v>
      </c>
      <c r="F8" s="18">
        <f>F6*F7</f>
        <v>2247534196.8583875</v>
      </c>
    </row>
    <row r="9" spans="1:6" x14ac:dyDescent="0.25">
      <c r="A9" t="s">
        <v>45</v>
      </c>
      <c r="B9" s="18">
        <f>B8*(1-Assumptions!B8)</f>
        <v>1275254793.5587595</v>
      </c>
      <c r="C9" s="18">
        <f>C8*(1-Assumptions!B8)</f>
        <v>1400867392.894263</v>
      </c>
      <c r="D9" s="18">
        <f>D8*(1-Assumptions!B8)</f>
        <v>1538852833.4780555</v>
      </c>
      <c r="E9" s="18">
        <f>E8*(1-Assumptions!B8)</f>
        <v>1690429840.1941466</v>
      </c>
      <c r="F9" s="18">
        <f>F8*(1-Assumptions!B8)</f>
        <v>1856937182.3296952</v>
      </c>
    </row>
    <row r="10" spans="1:6" x14ac:dyDescent="0.25">
      <c r="A10" t="s">
        <v>46</v>
      </c>
      <c r="B10" s="18">
        <f>B6*Assumptions!B9</f>
        <v>780227355.4679686</v>
      </c>
      <c r="C10" s="18">
        <f>C6*Assumptions!B9</f>
        <v>857079751.3091936</v>
      </c>
      <c r="D10" s="18">
        <f>D6*Assumptions!B9</f>
        <v>941502108.271551</v>
      </c>
      <c r="E10" s="18">
        <f>E6*Assumptions!B9</f>
        <v>1034240067.5383531</v>
      </c>
      <c r="F10" s="18">
        <f>F6*Assumptions!B9</f>
        <v>1136112715.9507377</v>
      </c>
    </row>
    <row r="11" spans="1:6" x14ac:dyDescent="0.25">
      <c r="A11" t="s">
        <v>47</v>
      </c>
      <c r="B11" s="18">
        <f>-B6*Assumptions!B10</f>
        <v>-1100190670.4621184</v>
      </c>
      <c r="C11" s="18">
        <f>-C6*Assumptions!B10</f>
        <v>-1208559453.3747149</v>
      </c>
      <c r="D11" s="18">
        <f>-D6*Assumptions!B10</f>
        <v>-1327602561.5886018</v>
      </c>
      <c r="E11" s="18">
        <f>-E6*Assumptions!B10</f>
        <v>-1458371416.1641197</v>
      </c>
      <c r="F11" s="18">
        <f>-F6*Assumptions!B10</f>
        <v>-1602021003.1378417</v>
      </c>
    </row>
    <row r="12" spans="1:6" x14ac:dyDescent="0.25">
      <c r="A12" t="s">
        <v>48</v>
      </c>
      <c r="B12" s="18">
        <f>-(B6-Assumptions!B29)*Assumptions!B11</f>
        <v>-386417204.95124465</v>
      </c>
      <c r="C12" s="18">
        <f>-(C6-B6)*Assumptions!B11</f>
        <v>-424479300.2964672</v>
      </c>
      <c r="D12" s="18">
        <f>-(D6-C6)*Assumptions!B11</f>
        <v>-466290512.09796095</v>
      </c>
      <c r="E12" s="18">
        <f>-(E6-D6)*Assumptions!B11</f>
        <v>-512220128.3330473</v>
      </c>
      <c r="F12" s="18">
        <f>-(F6-E6)*Assumptions!B11</f>
        <v>-562673811.8454435</v>
      </c>
    </row>
    <row r="13" spans="1:6" x14ac:dyDescent="0.25">
      <c r="A13" s="19" t="s">
        <v>49</v>
      </c>
      <c r="B13" s="20">
        <f>B9+B10+B11+B12</f>
        <v>568874273.6133652</v>
      </c>
      <c r="C13" s="20">
        <f>C9+C10+C11+C12</f>
        <v>624908390.5322748</v>
      </c>
      <c r="D13" s="20">
        <f>D9+D10+D11+D12</f>
        <v>686461868.0630438</v>
      </c>
      <c r="E13" s="20">
        <f>E9+E10+E11+E12</f>
        <v>754078363.2353326</v>
      </c>
      <c r="F13" s="20">
        <f>F9+F10+F11+F12</f>
        <v>828355083.2971475</v>
      </c>
    </row>
    <row r="14" spans="1:6" x14ac:dyDescent="0.25">
      <c r="A14" t="s">
        <v>50</v>
      </c>
      <c r="B14" s="21">
        <f>1/(1+Assumptions!$B$26)^(1-0.5*Assumptions!$B$32)</f>
        <v>0.9651793242448827</v>
      </c>
      <c r="C14" s="21">
        <f>1/(1+Assumptions!$B$26)^(2-0.5*Assumptions!$B$32)</f>
        <v>0.8991331917606394</v>
      </c>
      <c r="D14" s="21">
        <f>1/(1+Assumptions!$B$26)^(3-0.5*Assumptions!$B$32)</f>
        <v>0.8376065216255704</v>
      </c>
      <c r="E14" s="21">
        <f>1/(1+Assumptions!$B$26)^(4-0.5*Assumptions!$B$32)</f>
        <v>0.7802900521288482</v>
      </c>
      <c r="F14" s="21">
        <f>1/(1+Assumptions!$B$26)^(5-0.5*Assumptions!$B$32)</f>
        <v>0.726895683989686</v>
      </c>
    </row>
    <row r="15" spans="1:6" x14ac:dyDescent="0.25">
      <c r="A15" s="19" t="s">
        <v>51</v>
      </c>
      <c r="B15" s="20">
        <f>B13*B14</f>
        <v>549065686.9864463</v>
      </c>
      <c r="C15" s="20">
        <f>C13*C14</f>
        <v>561875875.7372885</v>
      </c>
      <c r="D15" s="20">
        <f>D13*D14</f>
        <v>574984937.5368774</v>
      </c>
      <c r="E15" s="20">
        <f>E13*E14</f>
        <v>588399845.3581342</v>
      </c>
      <c r="F15" s="20">
        <f>F13*F14</f>
        <v>602127734.8596133</v>
      </c>
    </row>
    <row r="17" spans="1:2" x14ac:dyDescent="0.25">
      <c r="A17" s="22" t="s">
        <v>52</v>
      </c>
      <c r="B17" s="23">
        <f>SUM(B15:F15)</f>
        <v>2876454080.4783597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828355083.2971475</v>
      </c>
    </row>
    <row r="5" spans="1:2" x14ac:dyDescent="0.25">
      <c r="A5" t="s">
        <v>56</v>
      </c>
      <c r="B5" s="18">
        <f>IF(Assumptions!$B$33=0,B4,B4-Forecast!F11-Forecast!F10-Forecast!F12)</f>
        <v>2191242573.577295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0.3302800531466062</v>
      </c>
    </row>
    <row r="7" spans="1:2" x14ac:dyDescent="0.25">
      <c r="A7" t="s">
        <v>58</v>
      </c>
      <c r="B7" s="18">
        <f>-MAX(Forecast!F9,0)*B6</f>
        <v>-723723713.658215</v>
      </c>
    </row>
    <row r="8" spans="1:2" x14ac:dyDescent="0.25">
      <c r="A8" t="s">
        <v>59</v>
      </c>
      <c r="B8" s="18">
        <f>IF(OR(Assumptions!$B$33=0,Assumptions!B12&lt;=0),B5,MAX(B5+B7,0))</f>
        <v>1467518859.9190798</v>
      </c>
    </row>
    <row r="9" spans="1:2" x14ac:dyDescent="0.25">
      <c r="A9" t="s">
        <v>60</v>
      </c>
      <c r="B9" s="18">
        <f>B8*(1+Assumptions!B12)/(Assumptions!B26-Assumptions!B12)</f>
        <v>31043160450.76911</v>
      </c>
    </row>
    <row r="10" spans="1:2" x14ac:dyDescent="0.25">
      <c r="A10" t="s">
        <v>61</v>
      </c>
      <c r="B10" s="18">
        <f>B9/(1+Assumptions!B26)^(5-0.5*Assumptions!B32)</f>
        <v>22565139349.06338</v>
      </c>
    </row>
    <row r="11" spans="1:2" x14ac:dyDescent="0.25">
      <c r="A11" t="s">
        <v>62</v>
      </c>
      <c r="B11" s="18">
        <f>Forecast!B17+B10</f>
        <v>25441593429.54174</v>
      </c>
    </row>
    <row r="12" spans="1:2" x14ac:dyDescent="0.25">
      <c r="A12" t="s">
        <v>63</v>
      </c>
      <c r="B12" s="18">
        <f>-Assumptions!B30</f>
        <v>-1251000000</v>
      </c>
    </row>
    <row r="13" spans="1:2" x14ac:dyDescent="0.25">
      <c r="A13" t="s">
        <v>64</v>
      </c>
      <c r="B13" s="18">
        <f>B11+B12</f>
        <v>24190593429.54174</v>
      </c>
    </row>
    <row r="14" spans="1:2" x14ac:dyDescent="0.25">
      <c r="A14" s="19" t="s">
        <v>65</v>
      </c>
      <c r="B14" s="24">
        <f>B13/Assumptions!B31</f>
        <v>41.94134498474569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3383646912.809125</v>
      </c>
    </row>
    <row r="18" spans="1:2" x14ac:dyDescent="0.25">
      <c r="A18" t="s">
        <v>60</v>
      </c>
      <c r="B18" s="18">
        <f>B17*Assumptions!B13</f>
        <v>43392580578.20233</v>
      </c>
    </row>
    <row r="19" spans="1:2" x14ac:dyDescent="0.25">
      <c r="A19" t="s">
        <v>61</v>
      </c>
      <c r="B19" s="18">
        <f>B18/(1+Assumptions!B26)^(5-0.5*Assumptions!B32)</f>
        <v>31541879539.469948</v>
      </c>
    </row>
    <row r="20" spans="1:2" x14ac:dyDescent="0.25">
      <c r="A20" t="s">
        <v>62</v>
      </c>
      <c r="B20" s="18">
        <f>Forecast!B17+B19</f>
        <v>34418333619.94831</v>
      </c>
    </row>
    <row r="21" spans="1:2" x14ac:dyDescent="0.25">
      <c r="A21" t="s">
        <v>63</v>
      </c>
      <c r="B21" s="18">
        <f>-Assumptions!B30</f>
        <v>-1251000000</v>
      </c>
    </row>
    <row r="22" spans="1:2" x14ac:dyDescent="0.25">
      <c r="A22" t="s">
        <v>64</v>
      </c>
      <c r="B22" s="18">
        <f>B20+B21</f>
        <v>33167333619.94831</v>
      </c>
    </row>
    <row r="23" spans="1:2" x14ac:dyDescent="0.25">
      <c r="A23" s="19" t="s">
        <v>65</v>
      </c>
      <c r="B23" s="25">
        <f>B22/Assumptions!B31</f>
        <v>57.505103611042685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41.94134498474569</v>
      </c>
    </row>
    <row r="29" spans="1:2" x14ac:dyDescent="0.25">
      <c r="A29" s="19" t="s">
        <v>73</v>
      </c>
      <c r="B29" s="12">
        <f>B28/B26-1</f>
        <v>-0.1686552034738218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0.053455</v>
      </c>
      <c r="B5" s="31">
        <v>66.67254790048366</v>
      </c>
      <c r="C5" s="31">
        <v>70.48626845276183</v>
      </c>
      <c r="D5" s="31">
        <v>75.57048287482183</v>
      </c>
      <c r="E5" s="31">
        <v>82.73770056963679</v>
      </c>
      <c r="F5" s="31">
        <v>93.68096131457433</v>
      </c>
    </row>
    <row r="6" spans="1:6" x14ac:dyDescent="0.25">
      <c r="A6" s="30">
        <v>0.063455</v>
      </c>
      <c r="B6" s="31">
        <v>51.31838055205279</v>
      </c>
      <c r="C6" s="31">
        <v>52.684697322811076</v>
      </c>
      <c r="D6" s="31">
        <v>54.35683912327095</v>
      </c>
      <c r="E6" s="31">
        <v>56.471926725978385</v>
      </c>
      <c r="F6" s="31">
        <v>59.26345818167008</v>
      </c>
    </row>
    <row r="7" spans="1:6" x14ac:dyDescent="0.25">
      <c r="A7" s="30">
        <v>0.073455</v>
      </c>
      <c r="B7" s="31">
        <v>41.2673452875766</v>
      </c>
      <c r="C7" s="31">
        <v>41.59003683038739</v>
      </c>
      <c r="D7" s="32">
        <v>41.941677297277344</v>
      </c>
      <c r="E7" s="31">
        <v>42.33225941316165</v>
      </c>
      <c r="F7" s="31">
        <v>42.77697300341842</v>
      </c>
    </row>
    <row r="8" spans="1:6" x14ac:dyDescent="0.25">
      <c r="A8" s="30">
        <v>0.083455</v>
      </c>
      <c r="B8" s="31">
        <v>34.916722942224474</v>
      </c>
      <c r="C8" s="31">
        <v>35.0754149224726</v>
      </c>
      <c r="D8" s="31">
        <v>35.23410690272072</v>
      </c>
      <c r="E8" s="31">
        <v>35.392798882968826</v>
      </c>
      <c r="F8" s="31">
        <v>35.55149086321693</v>
      </c>
    </row>
    <row r="9" spans="1:6" x14ac:dyDescent="0.25">
      <c r="A9" s="30">
        <v>0.093455</v>
      </c>
      <c r="B9" s="31">
        <v>30.19316254758521</v>
      </c>
      <c r="C9" s="31">
        <v>30.32913459410147</v>
      </c>
      <c r="D9" s="31">
        <v>30.46510664061773</v>
      </c>
      <c r="E9" s="31">
        <v>30.60107868713398</v>
      </c>
      <c r="F9" s="31">
        <v>30.73705073365024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19503000000</v>
      </c>
      <c r="C5" s="18">
        <v>17763000000</v>
      </c>
      <c r="D5" s="18">
        <v>15291000000</v>
      </c>
      <c r="E5" s="18">
        <v>14713000000</v>
      </c>
      <c r="F5" s="8" t="s">
        <v>84</v>
      </c>
    </row>
    <row r="6" spans="1:6" x14ac:dyDescent="0.25">
      <c r="A6" t="s">
        <v>44</v>
      </c>
      <c r="B6" s="18">
        <v>1710000000</v>
      </c>
      <c r="C6" s="18">
        <v>1311000000</v>
      </c>
      <c r="D6" s="18">
        <v>1003000000</v>
      </c>
      <c r="E6" s="18">
        <v>899000000</v>
      </c>
      <c r="F6" s="8" t="s">
        <v>85</v>
      </c>
    </row>
    <row r="7" spans="1:6" x14ac:dyDescent="0.25">
      <c r="A7" t="s">
        <v>86</v>
      </c>
      <c r="B7" s="18">
        <v>657000000</v>
      </c>
      <c r="C7" s="18">
        <v>663000000</v>
      </c>
      <c r="D7" s="18">
        <v>569000000</v>
      </c>
      <c r="E7" s="18">
        <v>551000000</v>
      </c>
      <c r="F7" s="8" t="s">
        <v>87</v>
      </c>
    </row>
    <row r="8" spans="1:6" x14ac:dyDescent="0.25">
      <c r="A8" t="s">
        <v>88</v>
      </c>
      <c r="B8" s="18">
        <v>1016000000</v>
      </c>
      <c r="C8" s="18">
        <v>895000000</v>
      </c>
      <c r="D8" s="18">
        <v>782000000</v>
      </c>
      <c r="E8" s="18">
        <v>762000000</v>
      </c>
      <c r="F8" s="8" t="s">
        <v>89</v>
      </c>
    </row>
    <row r="9" spans="1:6" x14ac:dyDescent="0.25">
      <c r="A9" t="s">
        <v>90</v>
      </c>
      <c r="B9" s="18">
        <v>350000000</v>
      </c>
      <c r="C9" s="18">
        <v>394000000</v>
      </c>
      <c r="D9" s="18">
        <v>333000000</v>
      </c>
      <c r="E9" s="18">
        <v>425000000</v>
      </c>
      <c r="F9" s="8" t="s">
        <v>91</v>
      </c>
    </row>
    <row r="10" spans="1:6" x14ac:dyDescent="0.25">
      <c r="A10" t="s">
        <v>92</v>
      </c>
      <c r="B10" s="18">
        <v>4489000000</v>
      </c>
      <c r="C10" s="18">
        <v>4700000000</v>
      </c>
      <c r="D10" s="18">
        <v>4929000000</v>
      </c>
      <c r="E10" s="18">
        <v>4613000000</v>
      </c>
      <c r="F10" s="8" t="s">
        <v>93</v>
      </c>
    </row>
    <row r="11" spans="1:6" x14ac:dyDescent="0.25">
      <c r="A11" t="s">
        <v>94</v>
      </c>
      <c r="B11" s="18">
        <v>3238000000</v>
      </c>
      <c r="C11" s="18">
        <v>2556000000</v>
      </c>
      <c r="D11" s="18">
        <v>2407000000</v>
      </c>
      <c r="E11" s="18">
        <v>1511000000</v>
      </c>
      <c r="F11" s="8" t="s">
        <v>95</v>
      </c>
    </row>
    <row r="12" spans="1:6" x14ac:dyDescent="0.25">
      <c r="A12" t="s">
        <v>32</v>
      </c>
      <c r="B12" s="34">
        <v>576772000</v>
      </c>
      <c r="C12" s="34">
        <v>575777000</v>
      </c>
      <c r="D12" s="34">
        <v>575174825</v>
      </c>
      <c r="E12" s="34">
        <v>575307000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