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<sst xmlns="http://schemas.openxmlformats.org/spreadsheetml/2006/main" count="113" uniqueCount="101">
  <si>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Leidos Holdings, Inc. (LDOS)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</si>
  <si>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</si>
  <si>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</si>
  <si>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</si>
  <si>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</si>
  <si>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</si>
  <si>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</si>
  <si>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</si>
  <si>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</si>
  <si>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</si>
  <si>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</si>
  <si>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</si>
  <si>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</si>
  <si>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</si>
  <si>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</si>
  <si>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</si>
  <si>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</si>
  <si>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</si>
  <si>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</si>
  <si>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</si>
  <si>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</si>
  <si>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</si>
  <si>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</si>
  <si>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</si>
  <si>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</si>
  <si>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</si>
  <si>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</si>
  <si>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</si>
  <si>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</si>
  <si>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</si>
  <si>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</si>
  <si>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</si>
  <si>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</si>
  <si>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</si>
  <si>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</si>
  <si>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</si>
  <si>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</si>
  <si>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</si>
  <si>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</si>
  <si>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</si>
  <si>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</si>
  <si>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</si>
  <si>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</si>
  <si>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</si>
  <si>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</si>
  <si>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</si>
  <si>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</si>
  <si>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</si>
  <si>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</si>
  <si>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</si>
  <si>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</si>
  <si>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</si>
  <si>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</si>
  <si>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</si>
  <si>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</si>
  <si>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</si>
  <si>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</si>
  <si>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</si>
  <si>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</si>
  <si>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</si>
  <si>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</si>
  <si>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</si>
  <si>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</si>
  <si>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</si>
  <si>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</si>
  <si>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</si>
  <si>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</si>
  <si>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</si>
  <si>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</si>
  <si>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</si>
  <si>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</si>
  <si>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</si>
  <si>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</si>
  <si>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</si>
  <si>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</si>
  <si>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</si>
  <si>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</si>
  <si>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</si>
  <si>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</si>
  <si>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</si>
  <si>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</si>
  <si>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</si>
  <si>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</si>
  <si>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</si>
  <si>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</si>
  <si>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</si>
  <si>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</si>
  <si>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</si>
  <si>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</si>
  <si>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</si>
  <si>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</si>
  <si>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derived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</si>
  <si>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</si>
  <si>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</si>
  <si>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</si>
  <si>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</si>
  <si>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</si>
  <si>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</si>
  <si>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Some line items were not reported and have been derived. Each one is labelled in the workings below.</t>
  </si>
  <si>
    <t>Adjusted: Reported capital expenditure averages just 0.96% of revenue, which is too low to be the company's real investment - property trusts and similar structures invest through lines that are not reported as capex. Capex has been set to 1.00% of revenue so the forecast is not handed free growth. Override it if the reported figure is right.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</si>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</sst>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0.06057944749313893</v>
      </c>
    </row>
    <row r="7" spans="1:2" x14ac:dyDescent="0.25">
      <c r="A7" t="s">
        <v>5</v>
      </c>
      <c r="B7" s="6">
        <v>0.09856203229003367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0.019715722581325153</v>
      </c>
    </row>
    <row r="10" spans="1:2" x14ac:dyDescent="0.25">
      <c r="A10" t="s">
        <v>8</v>
      </c>
      <c r="B10" s="6">
        <v>0.01</v>
      </c>
    </row>
    <row r="11" spans="1:2" x14ac:dyDescent="0.25">
      <c r="A11" t="s">
        <v>9</v>
      </c>
      <c r="B11" s="6">
        <v>0.037109375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8.431422527196652</v>
      </c>
    </row>
    <row r="14" spans="1:3" x14ac:dyDescent="0.25">
      <c r="A14" t="s">
        <v>12</v>
      </c>
      <c r="B14" s="6">
        <v>0.13683509141559203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0.7132399999999999</v>
      </c>
      <c r="C19" s="8" t="s">
        <v>19</v>
      </c>
    </row>
    <row r="20" spans="1:2" x14ac:dyDescent="0.25">
      <c r="A20" t="s">
        <v>20</v>
      </c>
      <c r="B20" s="10">
        <f>B17+B19*B18</f>
        <v>0.08920819999999999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16024099840</v>
      </c>
    </row>
    <row r="23" spans="1:2" x14ac:dyDescent="0.25">
      <c r="A23" t="s">
        <v>24</v>
      </c>
      <c r="B23" s="11">
        <v>5235000000</v>
      </c>
    </row>
    <row r="24" spans="1:2" x14ac:dyDescent="0.25">
      <c r="A24" t="s">
        <v>25</v>
      </c>
      <c r="B24" s="10">
        <f>B22/(B22+B23)</f>
        <v>0.7537525088362349</v>
      </c>
    </row>
    <row r="25" spans="1:2" x14ac:dyDescent="0.25">
      <c r="A25" t="s">
        <v>26</v>
      </c>
      <c r="B25" s="10">
        <f>1-B24</f>
        <v>0.2462474911637651</v>
      </c>
    </row>
    <row r="26" spans="1:2" x14ac:dyDescent="0.25">
      <c r="A26" t="s">
        <v>27</v>
      </c>
      <c r="B26" s="12">
        <f>B24*B20+B25*B21*(1-B8)</f>
        <v>0.07696378974937293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17174000000</v>
      </c>
      <c r="C29" s="8" t="s">
        <v>30</v>
      </c>
    </row>
    <row r="30" spans="1:2" x14ac:dyDescent="0.25">
      <c r="A30" t="s">
        <v>31</v>
      </c>
      <c r="B30" s="11">
        <v>4127000000</v>
      </c>
    </row>
    <row r="31" spans="1:2" x14ac:dyDescent="0.25">
      <c r="A31" t="s">
        <v>32</v>
      </c>
      <c r="B31" s="13">
        <v>130000000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0.06057944749313893</v>
      </c>
      <c r="C5" s="10">
        <f>Assumptions!B6</f>
        <v>0.06057944749313893</v>
      </c>
      <c r="D5" s="10">
        <f>Assumptions!B6</f>
        <v>0.06057944749313893</v>
      </c>
      <c r="E5" s="10">
        <f>Assumptions!B6</f>
        <v>0.06057944749313893</v>
      </c>
      <c r="F5" s="10">
        <f>Assumptions!B6</f>
        <v>0.06057944749313893</v>
      </c>
    </row>
    <row r="6" spans="1:6" x14ac:dyDescent="0.25">
      <c r="A6" t="s">
        <v>43</v>
      </c>
      <c r="B6" s="18">
        <f>Assumptions!B29*(1+B5)</f>
        <v>18214391431.24717</v>
      </c>
      <c r="C6" s="18">
        <f>B6*(1+C5)</f>
        <v>19317809200.575886</v>
      </c>
      <c r="D6" s="18">
        <f>C6*(1+D5)</f>
        <v>20488071408.724648</v>
      </c>
      <c r="E6" s="18">
        <f>D6*(1+E5)</f>
        <v>21729227454.86516</v>
      </c>
      <c r="F6" s="18">
        <f>E6*(1+F5)</f>
        <v>23045572048.533638</v>
      </c>
    </row>
    <row r="7" spans="1:6" x14ac:dyDescent="0.25">
      <c r="A7" t="s">
        <v>5</v>
      </c>
      <c r="B7" s="10">
        <f>Assumptions!B7</f>
        <v>0.09856203229003367</v>
      </c>
      <c r="C7" s="10">
        <f>Assumptions!B7</f>
        <v>0.09856203229003367</v>
      </c>
      <c r="D7" s="10">
        <f>Assumptions!B7</f>
        <v>0.09856203229003367</v>
      </c>
      <c r="E7" s="10">
        <f>Assumptions!B7</f>
        <v>0.09856203229003367</v>
      </c>
      <c r="F7" s="10">
        <f>Assumptions!B7</f>
        <v>0.09856203229003367</v>
      </c>
    </row>
    <row r="8" spans="1:6" x14ac:dyDescent="0.25">
      <c r="A8" t="s">
        <v>44</v>
      </c>
      <c r="B8" s="18">
        <f>B6*B7</f>
        <v>1795247436.3898962</v>
      </c>
      <c r="C8" s="18">
        <f>C6*C7</f>
        <v>1904002534.19987</v>
      </c>
      <c r="D8" s="18">
        <f>D6*D7</f>
        <v>2019345955.7472343</v>
      </c>
      <c r="E8" s="18">
        <f>E6*E7</f>
        <v>2141676818.0439062</v>
      </c>
      <c r="F8" s="18">
        <f>F6*F7</f>
        <v>2271418416.3898697</v>
      </c>
    </row>
    <row r="9" spans="1:6" x14ac:dyDescent="0.25">
      <c r="A9" t="s">
        <v>45</v>
      </c>
      <c r="B9" s="18">
        <f>B8*(1-Assumptions!B8)</f>
        <v>1418245474.748018</v>
      </c>
      <c r="C9" s="18">
        <f>C8*(1-Assumptions!B8)</f>
        <v>1504162002.0178974</v>
      </c>
      <c r="D9" s="18">
        <f>D8*(1-Assumptions!B8)</f>
        <v>1595283305.0403152</v>
      </c>
      <c r="E9" s="18">
        <f>E8*(1-Assumptions!B8)</f>
        <v>1691924686.2546859</v>
      </c>
      <c r="F9" s="18">
        <f>F8*(1-Assumptions!B8)</f>
        <v>1794420548.947997</v>
      </c>
    </row>
    <row r="10" spans="1:6" x14ac:dyDescent="0.25">
      <c r="A10" t="s">
        <v>46</v>
      </c>
      <c r="B10" s="18">
        <f>B6*Assumptions!B9</f>
        <v>359109888.44613516</v>
      </c>
      <c r="C10" s="18">
        <f>C6*Assumptions!B9</f>
        <v>380864567.0775248</v>
      </c>
      <c r="D10" s="18">
        <f>D6*Assumptions!B9</f>
        <v>403937132.1207948</v>
      </c>
      <c r="E10" s="18">
        <f>E6*Assumptions!B9</f>
        <v>428407420.4066355</v>
      </c>
      <c r="F10" s="18">
        <f>F6*Assumptions!B9</f>
        <v>454360105.2368304</v>
      </c>
    </row>
    <row r="11" spans="1:6" x14ac:dyDescent="0.25">
      <c r="A11" t="s">
        <v>47</v>
      </c>
      <c r="B11" s="18">
        <f>-B6*Assumptions!B10</f>
        <v>-182143914.3124717</v>
      </c>
      <c r="C11" s="18">
        <f>-C6*Assumptions!B10</f>
        <v>-193178092.00575885</v>
      </c>
      <c r="D11" s="18">
        <f>-D6*Assumptions!B10</f>
        <v>-204880714.08724648</v>
      </c>
      <c r="E11" s="18">
        <f>-E6*Assumptions!B10</f>
        <v>-217292274.54865164</v>
      </c>
      <c r="F11" s="18">
        <f>-F6*Assumptions!B10</f>
        <v>-230455720.4853364</v>
      </c>
    </row>
    <row r="12" spans="1:6" x14ac:dyDescent="0.25">
      <c r="A12" t="s">
        <v>48</v>
      </c>
      <c r="B12" s="18">
        <f>-(B6-Assumptions!B29)*Assumptions!B11</f>
        <v>-38608275.76893793</v>
      </c>
      <c r="C12" s="18">
        <f>-(C6-B6)*Assumptions!B11</f>
        <v>-40947143.78368283</v>
      </c>
      <c r="D12" s="18">
        <f>-(D6-C6)*Assumptions!B11</f>
        <v>-43427699.130520456</v>
      </c>
      <c r="E12" s="18">
        <f>-(E6-D6)*Assumptions!B11</f>
        <v>-46058525.14974565</v>
      </c>
      <c r="F12" s="18">
        <f>-(F6-E6)*Assumptions!B11</f>
        <v>-48848725.155666105</v>
      </c>
    </row>
    <row r="13" spans="1:6" x14ac:dyDescent="0.25">
      <c r="A13" s="19" t="s">
        <v>49</v>
      </c>
      <c r="B13" s="20">
        <f>B9+B10+B11+B12</f>
        <v>1556603173.1127439</v>
      </c>
      <c r="C13" s="20">
        <f>C9+C10+C11+C12</f>
        <v>1650901333.3059807</v>
      </c>
      <c r="D13" s="20">
        <f>D9+D10+D11+D12</f>
        <v>1750912023.9433432</v>
      </c>
      <c r="E13" s="20">
        <f>E9+E10+E11+E12</f>
        <v>1856981306.962924</v>
      </c>
      <c r="F13" s="20">
        <f>F9+F10+F11+F12</f>
        <v>1969476208.543825</v>
      </c>
    </row>
    <row r="14" spans="1:6" x14ac:dyDescent="0.25">
      <c r="A14" t="s">
        <v>50</v>
      </c>
      <c r="B14" s="21">
        <f>1/(1+Assumptions!$B$26)^(1-0.5*Assumptions!$B$32)</f>
        <v>0.9636058973832289</v>
      </c>
      <c r="C14" s="21">
        <f>1/(1+Assumptions!$B$26)^(2-0.5*Assumptions!$B$32)</f>
        <v>0.8947430791591199</v>
      </c>
      <c r="D14" s="21">
        <f>1/(1+Assumptions!$B$26)^(3-0.5*Assumptions!$B$32)</f>
        <v>0.8308014509636775</v>
      </c>
      <c r="E14" s="21">
        <f>1/(1+Assumptions!$B$26)^(4-0.5*Assumptions!$B$32)</f>
        <v>0.7714293264744013</v>
      </c>
      <c r="F14" s="21">
        <f>1/(1+Assumptions!$B$26)^(5-0.5*Assumptions!$B$32)</f>
        <v>0.7163001521656782</v>
      </c>
    </row>
    <row r="15" spans="1:6" x14ac:dyDescent="0.25">
      <c r="A15" s="19" t="s">
        <v>51</v>
      </c>
      <c r="B15" s="20">
        <f>B13*B14</f>
        <v>1499951997.4968872</v>
      </c>
      <c r="C15" s="20">
        <f>C13*C14</f>
        <v>1477132542.3500896</v>
      </c>
      <c r="D15" s="20">
        <f>D13*D14</f>
        <v>1454660250.0018787</v>
      </c>
      <c r="E15" s="20">
        <f>E13*E14</f>
        <v>1432529838.905962</v>
      </c>
      <c r="F15" s="20">
        <f>F13*F14</f>
        <v>1410736107.8666248</v>
      </c>
    </row>
    <row r="17" spans="1:2" x14ac:dyDescent="0.25">
      <c r="A17" s="22" t="s">
        <v>52</v>
      </c>
      <c r="B17" s="23">
        <f>SUM(B15:F15)</f>
        <v>7275010736.621443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1969476208.543825</v>
      </c>
    </row>
    <row r="5" spans="1:2" x14ac:dyDescent="0.25">
      <c r="A5" t="s">
        <v>56</v>
      </c>
      <c r="B5" s="18">
        <f>IF(Assumptions!$B$33=0,B4,B4-Forecast!F11-Forecast!F10-Forecast!F12)</f>
        <v>2001301305.9845736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0.18270167207380045</v>
      </c>
    </row>
    <row r="7" spans="1:2" x14ac:dyDescent="0.25">
      <c r="A7" t="s">
        <v>58</v>
      </c>
      <c r="B7" s="18">
        <f>-MAX(Forecast!F9,0)*B6</f>
        <v>-365641094.9268621</v>
      </c>
    </row>
    <row r="8" spans="1:2" x14ac:dyDescent="0.25">
      <c r="A8" t="s">
        <v>59</v>
      </c>
      <c r="B8" s="18">
        <f>IF(OR(Assumptions!$B$33=0,Assumptions!B12&lt;=0),B5,MAX(B5+B7,0))</f>
        <v>1635660211.0577116</v>
      </c>
    </row>
    <row r="9" spans="1:2" x14ac:dyDescent="0.25">
      <c r="A9" t="s">
        <v>60</v>
      </c>
      <c r="B9" s="18">
        <f>B8*(1+Assumptions!B12)/(Assumptions!B26-Assumptions!B12)</f>
        <v>32263846120.930508</v>
      </c>
    </row>
    <row r="10" spans="1:2" x14ac:dyDescent="0.25">
      <c r="A10" t="s">
        <v>61</v>
      </c>
      <c r="B10" s="18">
        <f>B9/(1+Assumptions!B26)^(5-0.5*Assumptions!B32)</f>
        <v>23110597885.87255</v>
      </c>
    </row>
    <row r="11" spans="1:2" x14ac:dyDescent="0.25">
      <c r="A11" t="s">
        <v>62</v>
      </c>
      <c r="B11" s="18">
        <f>Forecast!B17+B10</f>
        <v>30385608622.493996</v>
      </c>
    </row>
    <row r="12" spans="1:2" x14ac:dyDescent="0.25">
      <c r="A12" t="s">
        <v>63</v>
      </c>
      <c r="B12" s="18">
        <f>-Assumptions!B30</f>
        <v>-4127000000</v>
      </c>
    </row>
    <row r="13" spans="1:2" x14ac:dyDescent="0.25">
      <c r="A13" t="s">
        <v>64</v>
      </c>
      <c r="B13" s="18">
        <f>B11+B12</f>
        <v>26258608622.493996</v>
      </c>
    </row>
    <row r="14" spans="1:2" x14ac:dyDescent="0.25">
      <c r="A14" s="19" t="s">
        <v>65</v>
      </c>
      <c r="B14" s="24">
        <f>B13/Assumptions!B31</f>
        <v>201.98929709610766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2725778521.6267</v>
      </c>
    </row>
    <row r="18" spans="1:2" x14ac:dyDescent="0.25">
      <c r="A18" t="s">
        <v>60</v>
      </c>
      <c r="B18" s="18">
        <f>B17*Assumptions!B13</f>
        <v>22982190431.392143</v>
      </c>
    </row>
    <row r="19" spans="1:2" x14ac:dyDescent="0.25">
      <c r="A19" t="s">
        <v>61</v>
      </c>
      <c r="B19" s="18">
        <f>B18/(1+Assumptions!B26)^(5-0.5*Assumptions!B32)</f>
        <v>16462146503.106787</v>
      </c>
    </row>
    <row r="20" spans="1:2" x14ac:dyDescent="0.25">
      <c r="A20" t="s">
        <v>62</v>
      </c>
      <c r="B20" s="18">
        <f>Forecast!B17+B19</f>
        <v>23737157239.72823</v>
      </c>
    </row>
    <row r="21" spans="1:2" x14ac:dyDescent="0.25">
      <c r="A21" t="s">
        <v>63</v>
      </c>
      <c r="B21" s="18">
        <f>-Assumptions!B30</f>
        <v>-4127000000</v>
      </c>
    </row>
    <row r="22" spans="1:2" x14ac:dyDescent="0.25">
      <c r="A22" t="s">
        <v>64</v>
      </c>
      <c r="B22" s="18">
        <f>B20+B21</f>
        <v>19610157239.72823</v>
      </c>
    </row>
    <row r="23" spans="1:2" x14ac:dyDescent="0.25">
      <c r="A23" s="19" t="s">
        <v>65</v>
      </c>
      <c r="B23" s="25">
        <f>B22/Assumptions!B31</f>
        <v>150.84736338252483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127.69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201.98929709610766</v>
      </c>
    </row>
    <row r="29" spans="1:2" x14ac:dyDescent="0.25">
      <c r="A29" s="19" t="s">
        <v>73</v>
      </c>
      <c r="B29" s="12">
        <f>B28/B26-1</f>
        <v>0.5818724809782103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0.056964</v>
      </c>
      <c r="B5" s="31">
        <v>285.269346758358</v>
      </c>
      <c r="C5" s="31">
        <v>309.5674337902798</v>
      </c>
      <c r="D5" s="31">
        <v>341.33007056918234</v>
      </c>
      <c r="E5" s="31">
        <v>384.7097658550687</v>
      </c>
      <c r="F5" s="31">
        <v>447.6402237821928</v>
      </c>
    </row>
    <row r="6" spans="1:6" x14ac:dyDescent="0.25">
      <c r="A6" s="30">
        <v>0.066964</v>
      </c>
      <c r="B6" s="31">
        <v>225.52614666767326</v>
      </c>
      <c r="C6" s="31">
        <v>238.7828789400642</v>
      </c>
      <c r="D6" s="31">
        <v>255.0985476824308</v>
      </c>
      <c r="E6" s="31">
        <v>275.71447004252894</v>
      </c>
      <c r="F6" s="31">
        <v>302.64866016958786</v>
      </c>
    </row>
    <row r="7" spans="1:6" x14ac:dyDescent="0.25">
      <c r="A7" s="30">
        <v>0.076964</v>
      </c>
      <c r="B7" s="31">
        <v>185.04478483457754</v>
      </c>
      <c r="C7" s="31">
        <v>192.80834693405112</v>
      </c>
      <c r="D7" s="32">
        <v>201.98839465458</v>
      </c>
      <c r="E7" s="31">
        <v>213.0373444069435</v>
      </c>
      <c r="F7" s="31">
        <v>226.62323380618105</v>
      </c>
    </row>
    <row r="8" spans="1:6" x14ac:dyDescent="0.25">
      <c r="A8" s="30">
        <v>0.086964</v>
      </c>
      <c r="B8" s="31">
        <v>155.79666135805073</v>
      </c>
      <c r="C8" s="31">
        <v>160.53109491587966</v>
      </c>
      <c r="D8" s="31">
        <v>165.96721207495824</v>
      </c>
      <c r="E8" s="31">
        <v>172.28978311157934</v>
      </c>
      <c r="F8" s="31">
        <v>179.75469302618816</v>
      </c>
    </row>
    <row r="9" spans="1:6" x14ac:dyDescent="0.25">
      <c r="A9" s="30">
        <v>0.096964</v>
      </c>
      <c r="B9" s="31">
        <v>133.6712094899751</v>
      </c>
      <c r="C9" s="31">
        <v>136.6137984316984</v>
      </c>
      <c r="D9" s="31">
        <v>139.91374280256153</v>
      </c>
      <c r="E9" s="31">
        <v>143.6510905602299</v>
      </c>
      <c r="F9" s="31">
        <v>147.931726586281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17174000000</v>
      </c>
      <c r="C5" s="18">
        <v>16662000000</v>
      </c>
      <c r="D5" s="18">
        <v>15438000000</v>
      </c>
      <c r="E5" s="18">
        <v>14396000000</v>
      </c>
      <c r="F5" s="8" t="s">
        <v>84</v>
      </c>
    </row>
    <row r="6" spans="1:6" x14ac:dyDescent="0.25">
      <c r="A6" t="s">
        <v>44</v>
      </c>
      <c r="B6" s="18">
        <v>2100000000</v>
      </c>
      <c r="C6" s="18">
        <v>1815000000</v>
      </c>
      <c r="D6" s="18">
        <v>1302000000</v>
      </c>
      <c r="E6" s="18">
        <v>1133000000</v>
      </c>
      <c r="F6" s="8" t="s">
        <v>85</v>
      </c>
    </row>
    <row r="7" spans="1:6" x14ac:dyDescent="0.25">
      <c r="A7" t="s">
        <v>86</v>
      </c>
      <c r="B7" s="18">
        <v>290000000</v>
      </c>
      <c r="C7" s="18">
        <v>290000000</v>
      </c>
      <c r="D7" s="18">
        <v>331000000</v>
      </c>
      <c r="E7" s="18">
        <v>333000000</v>
      </c>
      <c r="F7" s="8" t="s">
        <v>87</v>
      </c>
    </row>
    <row r="8" spans="1:6" x14ac:dyDescent="0.25">
      <c r="A8" t="s">
        <v>88</v>
      </c>
      <c r="B8" s="18">
        <v>125000000</v>
      </c>
      <c r="C8" s="18">
        <v>149000000</v>
      </c>
      <c r="D8" s="18">
        <v>207000000</v>
      </c>
      <c r="E8" s="18">
        <v>129000000</v>
      </c>
      <c r="F8" s="8" t="s">
        <v>89</v>
      </c>
    </row>
    <row r="9" spans="1:6" x14ac:dyDescent="0.25">
      <c r="A9" t="s">
        <v>90</v>
      </c>
      <c r="B9" s="18">
        <v>19000000</v>
      </c>
      <c r="C9" s="18">
        <v>148000000</v>
      </c>
      <c r="D9" s="18">
        <v>35000000</v>
      </c>
      <c r="E9" s="18">
        <v>-38000000</v>
      </c>
      <c r="F9" s="8" t="s">
        <v>91</v>
      </c>
    </row>
    <row r="10" spans="1:6" x14ac:dyDescent="0.25">
      <c r="A10" t="s">
        <v>92</v>
      </c>
      <c r="B10" s="18">
        <v>5235000000</v>
      </c>
      <c r="C10" s="18">
        <v>5291000000</v>
      </c>
      <c r="D10" s="18">
        <v>5198000000</v>
      </c>
      <c r="E10" s="18">
        <v>5490000000</v>
      </c>
      <c r="F10" s="8" t="s">
        <v>93</v>
      </c>
    </row>
    <row r="11" spans="1:6" x14ac:dyDescent="0.25">
      <c r="A11" t="s">
        <v>94</v>
      </c>
      <c r="B11" s="18">
        <v>1108000000</v>
      </c>
      <c r="C11" s="18">
        <v>849000000</v>
      </c>
      <c r="D11" s="18">
        <v>777000000</v>
      </c>
      <c r="E11" s="18">
        <v>516000000</v>
      </c>
      <c r="F11" s="8" t="s">
        <v>95</v>
      </c>
    </row>
    <row r="12" spans="1:6" x14ac:dyDescent="0.25">
      <c r="A12" t="s">
        <v>32</v>
      </c>
      <c r="B12" s="34">
        <v>130000000</v>
      </c>
      <c r="C12" s="34">
        <v>136000000</v>
      </c>
      <c r="D12" s="34">
        <v>138000000</v>
      </c>
      <c r="E12" s="34">
        <v>138000000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54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2026-09-19T00:06:13Z</dcterms:modified>
</cp:coreProperties>
</file>