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<sst xmlns="http://schemas.openxmlformats.org/spreadsheetml/2006/main" count="121" uniqueCount="108">
  <si>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Leidos Holdings, Inc. (LDOS)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</si>
  <si>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</si>
  <si>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</si>
  <si>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</si>
  <si>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</si>
  <si>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</si>
  <si>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</si>
  <si>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</si>
  <si>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</si>
  <si>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</si>
  <si>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</si>
  <si>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</si>
  <si>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</si>
  <si>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</si>
  <si>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</si>
  <si>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</si>
  <si>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</si>
  <si>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</si>
  <si>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</si>
  <si>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</si>
  <si>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</si>
  <si>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</si>
  <si>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</si>
  <si>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</si>
  <si>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10.3x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</si>
  <si>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</si>
  <si>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</si>
  <si>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</si>
  <si>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</si>
  <si>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</si>
  <si>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</si>
  <si>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</si>
  <si>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</si>
  <si>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</si>
  <si>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</si>
  <si>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</si>
  <si>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</si>
  <si>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</si>
  <si>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</si>
  <si>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</si>
  <si>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</si>
  <si>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</si>
  <si>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</si>
  <si>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</si>
  <si>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</si>
  <si>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</si>
  <si>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</si>
  <si>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</si>
  <si>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</si>
  <si>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</si>
  <si>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</si>
  <si>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</si>
  <si>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</si>
  <si>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</si>
  <si>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</si>
  <si>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</si>
  <si>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</si>
  <si>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</si>
  <si>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</si>
  <si>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</si>
  <si>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</si>
  <si>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</si>
  <si>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</si>
  <si>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</si>
  <si>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</si>
  <si>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</si>
  <si>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</si>
  <si>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</si>
  <si>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</si>
  <si>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</si>
  <si>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</si>
  <si>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</si>
  <si>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</si>
  <si>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</si>
  <si>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</si>
  <si>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</si>
  <si>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</si>
  <si>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</si>
  <si>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</si>
  <si>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</si>
  <si>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</si>
  <si>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</si>
  <si>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</si>
  <si>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</si>
  <si>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</si>
  <si>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</si>
  <si>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</si>
  <si>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</si>
  <si>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</si>
  <si>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</si>
  <si>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</si>
  <si>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</si>
  <si>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</si>
  <si>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</si>
  <si>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</si>
  <si>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</si>
  <si>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</si>
  <si>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</si>
  <si>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</si>
  <si>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</si>
  <si>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</si>
  <si>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</si>
  <si>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</si>
  <si>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</si>
  <si>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</si>
  <si>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</si>
  <si>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0.96%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</si>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</sst>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0.06631679399091661</v>
      </c>
    </row>
    <row r="7" spans="1:2" x14ac:dyDescent="0.25">
      <c r="A7" t="s">
        <v>4</v>
      </c>
      <c r="B7" s="5">
        <v>0.09856203229003367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0.019715722581325153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0.0769862961804128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9.23425780753138</v>
      </c>
    </row>
    <row r="14" spans="1:3" x14ac:dyDescent="0.25">
      <c r="A14" t="s">
        <v>12</v>
      </c>
      <c r="B14" s="5">
        <v>0.13683509141559203</v>
      </c>
      <c r="C14" s="6" t="s">
        <v>13</v>
      </c>
    </row>
    <row r="15" spans="1:3" x14ac:dyDescent="0.25">
      <c r="A15" t="s">
        <v>14</v>
      </c>
      <c r="B15" s="5">
        <v>0.008352395368437451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0.7253</v>
      </c>
      <c r="C19" s="6" t="s">
        <v>21</v>
      </c>
    </row>
    <row r="20" spans="1:2" x14ac:dyDescent="0.25">
      <c r="A20" t="s">
        <v>22</v>
      </c>
      <c r="B20" s="9">
        <f>B17+B19*B18</f>
        <v>0.07962019000000001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17942876160</v>
      </c>
    </row>
    <row r="23" spans="1:2" x14ac:dyDescent="0.25">
      <c r="A23" t="s">
        <v>26</v>
      </c>
      <c r="B23" s="10">
        <v>5235000000</v>
      </c>
    </row>
    <row r="24" spans="1:2" x14ac:dyDescent="0.25">
      <c r="A24" t="s">
        <v>27</v>
      </c>
      <c r="B24" s="9">
        <f>B22/(B22+B23)</f>
        <v>0.7741380632176094</v>
      </c>
    </row>
    <row r="25" spans="1:2" x14ac:dyDescent="0.25">
      <c r="A25" t="s">
        <v>28</v>
      </c>
      <c r="B25" s="9">
        <f>1-B24</f>
        <v>0.22586193678239064</v>
      </c>
    </row>
    <row r="26" spans="1:2" x14ac:dyDescent="0.25">
      <c r="A26" t="s">
        <v>29</v>
      </c>
      <c r="B26" s="11">
        <f>B24*B20+B25*B21*(1-B8)</f>
        <v>0.07108315311689328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17174000000</v>
      </c>
      <c r="C29" s="6" t="s">
        <v>32</v>
      </c>
    </row>
    <row r="30" spans="1:2" x14ac:dyDescent="0.25">
      <c r="A30" t="s">
        <v>33</v>
      </c>
      <c r="B30" s="10">
        <v>4127000000</v>
      </c>
    </row>
    <row r="31" spans="1:2" x14ac:dyDescent="0.25">
      <c r="A31" t="s">
        <v>34</v>
      </c>
      <c r="B31" s="12">
        <v>130000000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0.06631679399091661</v>
      </c>
      <c r="C5" s="5">
        <v>0.04031883958030513</v>
      </c>
      <c r="D5" s="5">
        <v>0.038403984632766994</v>
      </c>
      <c r="E5" s="5">
        <v>0.03648912968522885</v>
      </c>
      <c r="F5" s="5">
        <v>0.03457427473769071</v>
      </c>
      <c r="G5" s="5">
        <v>0.03265941979015256</v>
      </c>
      <c r="H5" s="5">
        <v>0.030744564842614425</v>
      </c>
      <c r="I5" s="5">
        <v>0.028829709895076286</v>
      </c>
      <c r="J5" s="5">
        <v>0.026914854947538144</v>
      </c>
      <c r="K5" s="5">
        <v>0.025</v>
      </c>
    </row>
    <row r="6" spans="1:11" x14ac:dyDescent="0.25">
      <c r="A6" t="s">
        <v>50</v>
      </c>
      <c r="B6" s="18">
        <f>Assumptions!B29*(1+B5)</f>
        <v>18312924620</v>
      </c>
      <c r="C6" s="18">
        <f>B6*(1+C5)</f>
        <v>19051280490</v>
      </c>
      <c r="D6" s="18">
        <f>C6*(1+D5)</f>
        <v>19782925573.172497</v>
      </c>
      <c r="E6" s="18">
        <f>D6*(1+E5)</f>
        <v>20504787309.965218</v>
      </c>
      <c r="F6" s="18">
        <f>E6*(1+F5)</f>
        <v>21213725459.85787</v>
      </c>
      <c r="G6" s="18">
        <f>F6*(1+G5)</f>
        <v>21906553424.964417</v>
      </c>
      <c r="H6" s="18">
        <f>G6*(1+H5)</f>
        <v>22580060877.21643</v>
      </c>
      <c r="I6" s="18">
        <f>H6*(1+I5)</f>
        <v>23231037481.71974</v>
      </c>
      <c r="J6" s="18">
        <f>I6*(1+J5)</f>
        <v>23856297485.821053</v>
      </c>
      <c r="K6" s="18">
        <f>J6*(1+K5)</f>
        <v>24452704922.966576</v>
      </c>
    </row>
    <row r="7" spans="1:11" x14ac:dyDescent="0.25">
      <c r="A7" t="s">
        <v>4</v>
      </c>
      <c r="B7" s="9">
        <f>Assumptions!B7</f>
        <v>0.09856203229003367</v>
      </c>
      <c r="C7" s="9">
        <f>Assumptions!B7</f>
        <v>0.09856203229003367</v>
      </c>
      <c r="D7" s="9">
        <f>Assumptions!B7</f>
        <v>0.09856203229003367</v>
      </c>
      <c r="E7" s="9">
        <f>Assumptions!B7</f>
        <v>0.09856203229003367</v>
      </c>
      <c r="F7" s="9">
        <f>Assumptions!B7</f>
        <v>0.09856203229003367</v>
      </c>
      <c r="G7" s="9">
        <f>Assumptions!B7</f>
        <v>0.09856203229003367</v>
      </c>
      <c r="H7" s="9">
        <f>Assumptions!B7</f>
        <v>0.09856203229003367</v>
      </c>
      <c r="I7" s="9">
        <f>Assumptions!B7</f>
        <v>0.09856203229003367</v>
      </c>
      <c r="J7" s="9">
        <f>Assumptions!B7</f>
        <v>0.09856203229003367</v>
      </c>
      <c r="K7" s="9">
        <f>Assumptions!B7</f>
        <v>0.09856203229003367</v>
      </c>
    </row>
    <row r="8" spans="1:11" x14ac:dyDescent="0.25">
      <c r="A8" t="s">
        <v>51</v>
      </c>
      <c r="B8" s="18">
        <f>B6*B7</f>
        <v>1804959067.7213926</v>
      </c>
      <c r="C8" s="18">
        <f>C6*C7</f>
        <v>1877732922.8218684</v>
      </c>
      <c r="D8" s="18">
        <f>D6*D7</f>
        <v>1949845349.1343606</v>
      </c>
      <c r="E8" s="18">
        <f>E6*E7</f>
        <v>2020993508.9450645</v>
      </c>
      <c r="F8" s="18">
        <f>F6*F7</f>
        <v>2090867893.7664206</v>
      </c>
      <c r="G8" s="18">
        <f>G6*G7</f>
        <v>2159154426.0346904</v>
      </c>
      <c r="H8" s="18">
        <f>H6*H7</f>
        <v>2225536689.291132</v>
      </c>
      <c r="I8" s="18">
        <f>I6*I7</f>
        <v>2289698266.4042435</v>
      </c>
      <c r="J8" s="18">
        <f>J6*J7</f>
        <v>2351325163.1181436</v>
      </c>
      <c r="K8" s="18">
        <f>K6*K7</f>
        <v>2410108292.196097</v>
      </c>
    </row>
    <row r="9" spans="1:11" x14ac:dyDescent="0.25">
      <c r="A9" t="s">
        <v>52</v>
      </c>
      <c r="B9" s="18">
        <f>B8*(1-Assumptions!B8)</f>
        <v>1425917663.4999003</v>
      </c>
      <c r="C9" s="18">
        <f>C8*(1-Assumptions!B8)</f>
        <v>1483409009.0292761</v>
      </c>
      <c r="D9" s="18">
        <f>D8*(1-Assumptions!B8)</f>
        <v>1540377825.816145</v>
      </c>
      <c r="E9" s="18">
        <f>E8*(1-Assumptions!B8)</f>
        <v>1596584872.066601</v>
      </c>
      <c r="F9" s="18">
        <f>F8*(1-Assumptions!B8)</f>
        <v>1651785636.0754724</v>
      </c>
      <c r="G9" s="18">
        <f>G8*(1-Assumptions!B8)</f>
        <v>1705731996.5674055</v>
      </c>
      <c r="H9" s="18">
        <f>H8*(1-Assumptions!B8)</f>
        <v>1758173984.5399942</v>
      </c>
      <c r="I9" s="18">
        <f>I8*(1-Assumptions!B8)</f>
        <v>1808861630.4593525</v>
      </c>
      <c r="J9" s="18">
        <f>J8*(1-Assumptions!B8)</f>
        <v>1857546878.8633335</v>
      </c>
      <c r="K9" s="18">
        <f>K8*(1-Assumptions!B8)</f>
        <v>1903985550.8349166</v>
      </c>
    </row>
    <row r="10" spans="1:11" x14ac:dyDescent="0.25">
      <c r="A10" t="s">
        <v>53</v>
      </c>
      <c r="B10" s="18">
        <f>B6*Assumptions!B9</f>
        <v>361052541.46063936</v>
      </c>
      <c r="C10" s="18">
        <f>C6*Assumptions!B9</f>
        <v>375609760.95985234</v>
      </c>
      <c r="D10" s="18">
        <f>D6*Assumptions!B9</f>
        <v>390034672.44767183</v>
      </c>
      <c r="E10" s="18">
        <f>E6*Assumptions!B9</f>
        <v>404266698.1923507</v>
      </c>
      <c r="F10" s="18">
        <f>F6*Assumptions!B9</f>
        <v>418243926.0829521</v>
      </c>
      <c r="G10" s="18">
        <f>G6*Assumptions!B9</f>
        <v>431903530.0395768</v>
      </c>
      <c r="H10" s="18">
        <f>H6*Assumptions!B9</f>
        <v>445182216.1246326</v>
      </c>
      <c r="I10" s="18">
        <f>I6*Assumptions!B9</f>
        <v>458016690.26595294</v>
      </c>
      <c r="J10" s="18">
        <f>J6*Assumptions!B9</f>
        <v>470344143.0480126</v>
      </c>
      <c r="K10" s="18">
        <f>K6*Assumptions!B9</f>
        <v>482102746.62421286</v>
      </c>
    </row>
    <row r="11" spans="1:11" x14ac:dyDescent="0.25">
      <c r="A11" t="s">
        <v>54</v>
      </c>
      <c r="B11" s="18">
        <f>-B6*B19</f>
        <v>-183129246.20000002</v>
      </c>
      <c r="C11" s="18">
        <f>-C6*C19</f>
        <v>-220610435.85863596</v>
      </c>
      <c r="D11" s="18">
        <f>-D6*D19</f>
        <v>-260336255.5626332</v>
      </c>
      <c r="E11" s="18">
        <f>-E6*E19</f>
        <v>-302229611.88061136</v>
      </c>
      <c r="F11" s="18">
        <f>-F6*F19</f>
        <v>-346192890.4879901</v>
      </c>
      <c r="G11" s="18">
        <f>-G6*G19</f>
        <v>-392107803.2210937</v>
      </c>
      <c r="H11" s="18">
        <f>-H6*H19</f>
        <v>-439835462.6485907</v>
      </c>
      <c r="I11" s="18">
        <f>-I6*I19</f>
        <v>-489216694.2085027</v>
      </c>
      <c r="J11" s="18">
        <f>-J6*J19</f>
        <v>-540072592.8157284</v>
      </c>
      <c r="K11" s="18">
        <f>-K6*K19</f>
        <v>-592205327.4369285</v>
      </c>
    </row>
    <row r="12" spans="1:11" x14ac:dyDescent="0.25">
      <c r="A12" t="s">
        <v>55</v>
      </c>
      <c r="B12" s="18">
        <f>-(B6-Assumptions!B29)*Assumptions!B11</f>
        <v>-87681588.1224841</v>
      </c>
      <c r="C12" s="18">
        <f>-(C6-B6)*Assumptions!B11</f>
        <v>-56843283.69436637</v>
      </c>
      <c r="D12" s="18">
        <f>-(D6-C6)*Assumptions!B11</f>
        <v>-56326645.0720606</v>
      </c>
      <c r="E12" s="18">
        <f>-(E6-D6)*Assumptions!B11</f>
        <v>-55573461.4700316</v>
      </c>
      <c r="F12" s="18">
        <f>-(F6-E6)*Assumptions!B11</f>
        <v>-54578522.38122949</v>
      </c>
      <c r="G12" s="18">
        <f>-(G6-F6)*Assumptions!B11</f>
        <v>-53338258.923765436</v>
      </c>
      <c r="H12" s="18">
        <f>-(H6-G6)*Assumptions!B11</f>
        <v>-51850844.1987888</v>
      </c>
      <c r="I12" s="18">
        <f>-(I6-H6)*Assumptions!B11</f>
        <v>-50116277.68081136</v>
      </c>
      <c r="J12" s="18">
        <f>-(J6-I6)*Assumptions!B11</f>
        <v>-48136451.86550964</v>
      </c>
      <c r="K12" s="18">
        <f>-(K6-J6)*Assumptions!B11</f>
        <v>-45915199.60028617</v>
      </c>
    </row>
    <row r="13" spans="1:11" x14ac:dyDescent="0.25">
      <c r="A13" s="19" t="s">
        <v>56</v>
      </c>
      <c r="B13" s="20">
        <f>B9+B10+B11+B12</f>
        <v>1516159370.6380556</v>
      </c>
      <c r="C13" s="20">
        <f>C9+C10+C11+C12</f>
        <v>1581565050.4361262</v>
      </c>
      <c r="D13" s="20">
        <f>D9+D10+D11+D12</f>
        <v>1613749597.629123</v>
      </c>
      <c r="E13" s="20">
        <f>E9+E10+E11+E12</f>
        <v>1643048496.9083087</v>
      </c>
      <c r="F13" s="20">
        <f>F9+F10+F11+F12</f>
        <v>1669258149.2892048</v>
      </c>
      <c r="G13" s="20">
        <f>G9+G10+G11+G12</f>
        <v>1692189464.4621232</v>
      </c>
      <c r="H13" s="20">
        <f>H9+H10+H11+H12</f>
        <v>1711669893.8172476</v>
      </c>
      <c r="I13" s="20">
        <f>I9+I10+I11+I12</f>
        <v>1727545348.8359914</v>
      </c>
      <c r="J13" s="20">
        <f>J9+J10+J11+J12</f>
        <v>1739681977.2301078</v>
      </c>
      <c r="K13" s="20">
        <f>K9+K10+K11+K12</f>
        <v>1747967770.4219146</v>
      </c>
    </row>
    <row r="14" spans="1:11" x14ac:dyDescent="0.25">
      <c r="A14" t="s">
        <v>57</v>
      </c>
      <c r="B14" s="21">
        <f>1/(1+Assumptions!$B$26)^(1-0.5*Assumptions!$B$32)</f>
        <v>0.9662475501135556</v>
      </c>
      <c r="C14" s="21">
        <f>1/(1+Assumptions!$B$26)^(2-0.5*Assumptions!$B$32)</f>
        <v>0.9021218822289737</v>
      </c>
      <c r="D14" s="21">
        <f>1/(1+Assumptions!$B$26)^(3-0.5*Assumptions!$B$32)</f>
        <v>0.8422519573795594</v>
      </c>
      <c r="E14" s="21">
        <f>1/(1+Assumptions!$B$26)^(4-0.5*Assumptions!$B$32)</f>
        <v>0.7863553403193522</v>
      </c>
      <c r="F14" s="21">
        <f>1/(1+Assumptions!$B$26)^(5-0.5*Assumptions!$B$32)</f>
        <v>0.7341683398072577</v>
      </c>
      <c r="G14" s="21">
        <f>1/(1+Assumptions!$B$26)^(6-0.5*Assumptions!$B$32)</f>
        <v>0.6854447646485706</v>
      </c>
      <c r="H14" s="21">
        <f>1/(1+Assumptions!$B$26)^(7-0.5*Assumptions!$B$32)</f>
        <v>0.639954762292638</v>
      </c>
      <c r="I14" s="21">
        <f>1/(1+Assumptions!$B$26)^(8-0.5*Assumptions!$B$32)</f>
        <v>0.5974837345077691</v>
      </c>
      <c r="J14" s="21">
        <f>1/(1+Assumptions!$B$26)^(9-0.5*Assumptions!$B$32)</f>
        <v>0.5578313250181075</v>
      </c>
      <c r="K14" s="21">
        <f>1/(1+Assumptions!$B$26)^(10-0.5*Assumptions!$B$32)</f>
        <v>0.5208104743266636</v>
      </c>
    </row>
    <row r="15" spans="1:11" x14ac:dyDescent="0.25">
      <c r="A15" s="19" t="s">
        <v>58</v>
      </c>
      <c r="B15" s="20">
        <f>B13*B14</f>
        <v>1464985277.4607315</v>
      </c>
      <c r="C15" s="20">
        <f>C13*C14</f>
        <v>1426764440.167</v>
      </c>
      <c r="D15" s="20">
        <f>D13*D14</f>
        <v>1359183757.323605</v>
      </c>
      <c r="E15" s="20">
        <f>E13*E14</f>
        <v>1292019959.9475331</v>
      </c>
      <c r="F15" s="20">
        <f>F13*F14</f>
        <v>1225516484.173391</v>
      </c>
      <c r="G15" s="20">
        <f>G13*G14</f>
        <v>1159902409.2090309</v>
      </c>
      <c r="H15" s="20">
        <f>H13*H14</f>
        <v>1095391300.0212817</v>
      </c>
      <c r="I15" s="20">
        <f>I13*I14</f>
        <v>1032180246.5540549</v>
      </c>
      <c r="J15" s="20">
        <f>J13*J14</f>
        <v>970449102.4683921</v>
      </c>
      <c r="K15" s="20">
        <f>K13*K14</f>
        <v>910359923.621158</v>
      </c>
    </row>
    <row r="17" spans="1:2" x14ac:dyDescent="0.25">
      <c r="A17" s="22" t="s">
        <v>59</v>
      </c>
      <c r="B17" s="23">
        <f>SUM(B15:K15)</f>
        <v>11936752900.946178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0.01157982194291004</v>
      </c>
      <c r="D19" s="9">
        <f>Assumptions!$B$10+($B$20-Assumptions!$B$10)*2/9</f>
        <v>0.013159643885820083</v>
      </c>
      <c r="E19" s="9">
        <f>Assumptions!$B$10+($B$20-Assumptions!$B$10)*3/9</f>
        <v>0.014739465828730123</v>
      </c>
      <c r="F19" s="9">
        <f>Assumptions!$B$10+($B$20-Assumptions!$B$10)*4/9</f>
        <v>0.016319287771640163</v>
      </c>
      <c r="G19" s="9">
        <f>Assumptions!$B$10+($B$20-Assumptions!$B$10)*5/9</f>
        <v>0.017899109714550207</v>
      </c>
      <c r="H19" s="9">
        <f>Assumptions!$B$10+($B$20-Assumptions!$B$10)*6/9</f>
        <v>0.019478931657460244</v>
      </c>
      <c r="I19" s="9">
        <f>Assumptions!$B$10+($B$20-Assumptions!$B$10)*7/9</f>
        <v>0.021058753600370288</v>
      </c>
      <c r="J19" s="9">
        <f>Assumptions!$B$10+($B$20-Assumptions!$B$10)*8/9</f>
        <v>0.022638575543280325</v>
      </c>
      <c r="K19" s="9">
        <f>Assumptions!$B$10+($B$20-Assumptions!$B$10)*9/9</f>
        <v>0.02421839748619037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0.02421839748619037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1747967770.4219146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2123498179.7860053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0.18270167207380045</v>
      </c>
    </row>
    <row r="7" spans="1:2" x14ac:dyDescent="0.25">
      <c r="A7" t="s">
        <v>66</v>
      </c>
      <c r="B7" s="18">
        <f>-MAX(B5,0)*B6</f>
        <v>-387966668.0925749</v>
      </c>
    </row>
    <row r="8" spans="1:2" x14ac:dyDescent="0.25">
      <c r="A8" t="s">
        <v>67</v>
      </c>
      <c r="B8" s="18">
        <f>IF(OR(Assumptions!$B$33=0,Assumptions!B12&lt;=0),B5,MAX(B5+B7,0))</f>
        <v>1735531511.6934304</v>
      </c>
    </row>
    <row r="9" spans="1:2" x14ac:dyDescent="0.25">
      <c r="A9" t="s">
        <v>68</v>
      </c>
      <c r="B9" s="18">
        <f>B8*(1+Assumptions!B12)/(Assumptions!B26-Assumptions!B12)</f>
        <v>38602388924.503624</v>
      </c>
    </row>
    <row r="10" spans="1:2" x14ac:dyDescent="0.25">
      <c r="A10" t="s">
        <v>69</v>
      </c>
      <c r="B10" s="18">
        <f>B9/(1+Assumptions!B26)^(10-0.5*Assumptions!B32)</f>
        <v>20104528485.91308</v>
      </c>
    </row>
    <row r="11" spans="1:2" x14ac:dyDescent="0.25">
      <c r="A11" t="s">
        <v>70</v>
      </c>
      <c r="B11" s="18">
        <f>Forecast!B17+B10</f>
        <v>32041281386.859257</v>
      </c>
    </row>
    <row r="12" spans="1:2" x14ac:dyDescent="0.25">
      <c r="A12" t="s">
        <v>71</v>
      </c>
      <c r="B12" s="18">
        <f>-Assumptions!B30</f>
        <v>-4127000000</v>
      </c>
    </row>
    <row r="13" spans="1:2" x14ac:dyDescent="0.25">
      <c r="A13" t="s">
        <v>72</v>
      </c>
      <c r="B13" s="18">
        <f>B11+B12</f>
        <v>27914281386.859257</v>
      </c>
    </row>
    <row r="14" spans="1:2" x14ac:dyDescent="0.25">
      <c r="A14" s="19" t="s">
        <v>73</v>
      </c>
      <c r="B14" s="24">
        <f>B13/Assumptions!B31</f>
        <v>214.7252414373789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2892211038.8203096</v>
      </c>
    </row>
    <row r="18" spans="1:2" x14ac:dyDescent="0.25">
      <c r="A18" t="s">
        <v>68</v>
      </c>
      <c r="B18" s="18">
        <f>B17*Assumptions!B13</f>
        <v>26707422366.254887</v>
      </c>
    </row>
    <row r="19" spans="1:2" x14ac:dyDescent="0.25">
      <c r="A19" t="s">
        <v>69</v>
      </c>
      <c r="B19" s="18">
        <f>B18/(1+Assumptions!B26)^(10-0.5*Assumptions!B32)</f>
        <v>13909505310.611752</v>
      </c>
    </row>
    <row r="20" spans="1:2" x14ac:dyDescent="0.25">
      <c r="A20" t="s">
        <v>70</v>
      </c>
      <c r="B20" s="18">
        <f>Forecast!B17+B19</f>
        <v>25846258211.55793</v>
      </c>
    </row>
    <row r="21" spans="1:2" x14ac:dyDescent="0.25">
      <c r="A21" t="s">
        <v>71</v>
      </c>
      <c r="B21" s="18">
        <f>-Assumptions!B30</f>
        <v>-4127000000</v>
      </c>
    </row>
    <row r="22" spans="1:2" x14ac:dyDescent="0.25">
      <c r="A22" t="s">
        <v>72</v>
      </c>
      <c r="B22" s="18">
        <f>B20+B21</f>
        <v>21719258211.55793</v>
      </c>
    </row>
    <row r="23" spans="1:2" x14ac:dyDescent="0.25">
      <c r="A23" s="19" t="s">
        <v>73</v>
      </c>
      <c r="B23" s="25">
        <f>B22/Assumptions!B31</f>
        <v>167.0712170119841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142.98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214.7252414373789</v>
      </c>
    </row>
    <row r="29" spans="1:2" x14ac:dyDescent="0.25">
      <c r="A29" s="19" t="s">
        <v>81</v>
      </c>
      <c r="B29" s="11">
        <f>B28/B26-1</f>
        <v>0.5017851548285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0.051083</v>
      </c>
      <c r="B5" s="31">
        <v>327.26385714029493</v>
      </c>
      <c r="C5" s="31">
        <v>355.5433501614281</v>
      </c>
      <c r="D5" s="31">
        <v>395.2787129955195</v>
      </c>
      <c r="E5" s="31">
        <v>454.62049571582156</v>
      </c>
      <c r="F5" s="31">
        <v>551.8548575148457</v>
      </c>
    </row>
    <row r="6" spans="1:6" x14ac:dyDescent="0.25">
      <c r="A6" s="30">
        <v>0.061083</v>
      </c>
      <c r="B6" s="31">
        <v>250.21059752175861</v>
      </c>
      <c r="C6" s="31">
        <v>263.1271286639144</v>
      </c>
      <c r="D6" s="31">
        <v>280.0421922410065</v>
      </c>
      <c r="E6" s="31">
        <v>302.88539564370046</v>
      </c>
      <c r="F6" s="31">
        <v>335.0659363333322</v>
      </c>
    </row>
    <row r="7" spans="1:6" x14ac:dyDescent="0.25">
      <c r="A7" s="30">
        <v>0.071083</v>
      </c>
      <c r="B7" s="31">
        <v>200.64085749777126</v>
      </c>
      <c r="C7" s="31">
        <v>206.85432459786665</v>
      </c>
      <c r="D7" s="32">
        <v>214.72602518204053</v>
      </c>
      <c r="E7" s="31">
        <v>224.86140437993745</v>
      </c>
      <c r="F7" s="31">
        <v>238.20149201739906</v>
      </c>
    </row>
    <row r="8" spans="1:6" x14ac:dyDescent="0.25">
      <c r="A8" s="30">
        <v>0.081083</v>
      </c>
      <c r="B8" s="31">
        <v>166.07764305548687</v>
      </c>
      <c r="C8" s="31">
        <v>168.9763389556721</v>
      </c>
      <c r="D8" s="31">
        <v>172.63273793429735</v>
      </c>
      <c r="E8" s="31">
        <v>177.26933174354272</v>
      </c>
      <c r="F8" s="31">
        <v>183.20517344981658</v>
      </c>
    </row>
    <row r="9" spans="1:6" x14ac:dyDescent="0.25">
      <c r="A9" s="30">
        <v>0.091083</v>
      </c>
      <c r="B9" s="31">
        <v>140.6036262746682</v>
      </c>
      <c r="C9" s="31">
        <v>141.73187927286506</v>
      </c>
      <c r="D9" s="31">
        <v>143.22434714188162</v>
      </c>
      <c r="E9" s="31">
        <v>145.17046921937808</v>
      </c>
      <c r="F9" s="31">
        <v>147.69158019014657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17174000000</v>
      </c>
      <c r="C5" s="18">
        <v>16662000000</v>
      </c>
      <c r="D5" s="18">
        <v>15438000000</v>
      </c>
      <c r="E5" s="18">
        <v>14396000000</v>
      </c>
      <c r="F5" s="6" t="s">
        <v>91</v>
      </c>
    </row>
    <row r="6" spans="1:6" x14ac:dyDescent="0.25">
      <c r="A6" t="s">
        <v>51</v>
      </c>
      <c r="B6" s="18">
        <v>2100000000</v>
      </c>
      <c r="C6" s="18">
        <v>1815000000</v>
      </c>
      <c r="D6" s="18">
        <v>1302000000</v>
      </c>
      <c r="E6" s="18">
        <v>1133000000</v>
      </c>
      <c r="F6" s="6" t="s">
        <v>92</v>
      </c>
    </row>
    <row r="7" spans="1:6" x14ac:dyDescent="0.25">
      <c r="A7" t="s">
        <v>93</v>
      </c>
      <c r="B7" s="18">
        <v>290000000</v>
      </c>
      <c r="C7" s="18">
        <v>290000000</v>
      </c>
      <c r="D7" s="18">
        <v>331000000</v>
      </c>
      <c r="E7" s="18">
        <v>333000000</v>
      </c>
      <c r="F7" s="6" t="s">
        <v>94</v>
      </c>
    </row>
    <row r="8" spans="1:6" x14ac:dyDescent="0.25">
      <c r="A8" t="s">
        <v>95</v>
      </c>
      <c r="B8" s="18">
        <v>125000000</v>
      </c>
      <c r="C8" s="18">
        <v>149000000</v>
      </c>
      <c r="D8" s="18">
        <v>207000000</v>
      </c>
      <c r="E8" s="18">
        <v>129000000</v>
      </c>
      <c r="F8" s="6" t="s">
        <v>96</v>
      </c>
    </row>
    <row r="9" spans="1:6" x14ac:dyDescent="0.25">
      <c r="A9" t="s">
        <v>97</v>
      </c>
      <c r="B9" s="18">
        <v>19000000</v>
      </c>
      <c r="C9" s="18">
        <v>148000000</v>
      </c>
      <c r="D9" s="18">
        <v>35000000</v>
      </c>
      <c r="E9" s="18">
        <v>-38000000</v>
      </c>
      <c r="F9" s="6" t="s">
        <v>98</v>
      </c>
    </row>
    <row r="10" spans="1:6" x14ac:dyDescent="0.25">
      <c r="A10" t="s">
        <v>99</v>
      </c>
      <c r="B10" s="18">
        <v>5235000000</v>
      </c>
      <c r="C10" s="18">
        <v>5291000000</v>
      </c>
      <c r="D10" s="18">
        <v>5198000000</v>
      </c>
      <c r="E10" s="18">
        <v>5490000000</v>
      </c>
      <c r="F10" s="6" t="s">
        <v>100</v>
      </c>
    </row>
    <row r="11" spans="1:6" x14ac:dyDescent="0.25">
      <c r="A11" t="s">
        <v>101</v>
      </c>
      <c r="B11" s="18">
        <v>1108000000</v>
      </c>
      <c r="C11" s="18">
        <v>849000000</v>
      </c>
      <c r="D11" s="18">
        <v>777000000</v>
      </c>
      <c r="E11" s="18">
        <v>516000000</v>
      </c>
      <c r="F11" s="6" t="s">
        <v>102</v>
      </c>
    </row>
    <row r="12" spans="1:6" x14ac:dyDescent="0.25">
      <c r="A12" t="s">
        <v>34</v>
      </c>
      <c r="B12" s="34">
        <v>130000000</v>
      </c>
      <c r="C12" s="34">
        <v>136000000</v>
      </c>
      <c r="D12" s="34">
        <v>138000000</v>
      </c>
      <c r="E12" s="34">
        <v>138000000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