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<sst xmlns="http://schemas.openxmlformats.org/spreadsheetml/2006/main" count="113" uniqueCount="101">
  <si>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Lennar Corporation (LEN)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</si>
  <si>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</si>
  <si>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</si>
  <si>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</si>
  <si>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</si>
  <si>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</si>
  <si>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</si>
  <si>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</si>
  <si>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</si>
  <si>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</si>
  <si>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</si>
  <si>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</si>
  <si>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</si>
  <si>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</si>
  <si>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</si>
  <si>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</si>
  <si>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</si>
  <si>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</si>
  <si>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</si>
  <si>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</si>
  <si>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</si>
  <si>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</si>
  <si>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</si>
  <si>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</si>
  <si>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</si>
  <si>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</si>
  <si>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</si>
  <si>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</si>
  <si>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</si>
  <si>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</si>
  <si>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2025-11-30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</si>
  <si>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</si>
  <si>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</si>
  <si>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</si>
  <si>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</si>
  <si>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</si>
  <si>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</si>
  <si>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</si>
  <si>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</si>
  <si>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</si>
  <si>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</si>
  <si>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</si>
  <si>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</si>
  <si>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</si>
  <si>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</si>
  <si>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</si>
  <si>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</si>
  <si>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</si>
  <si>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</si>
  <si>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</si>
  <si>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</si>
  <si>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</si>
  <si>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</si>
  <si>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</si>
  <si>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</si>
  <si>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</si>
  <si>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</si>
  <si>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</si>
  <si>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</si>
  <si>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</si>
  <si>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</si>
  <si>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</si>
  <si>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</si>
  <si>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</si>
  <si>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</si>
  <si>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</si>
  <si>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</si>
  <si>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</si>
  <si>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</si>
  <si>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</si>
  <si>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</si>
  <si>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</si>
  <si>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</si>
  <si>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</si>
  <si>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</si>
  <si>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</si>
  <si>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</si>
  <si>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</si>
  <si>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</si>
  <si>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</si>
  <si>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</si>
  <si>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</si>
  <si>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</si>
  <si>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</si>
  <si>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</si>
  <si>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</si>
  <si>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</si>
  <si>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</si>
  <si>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</si>
  <si>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</si>
  <si>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</si>
  <si>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</si>
  <si>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</si>
  <si>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</si>
  <si>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</si>
  <si>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</si>
  <si>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</si>
  <si>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</si>
  <si>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0.37%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</si>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</sst>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0.005081632765289168</v>
      </c>
    </row>
    <row r="7" spans="1:2" x14ac:dyDescent="0.25">
      <c r="A7" t="s">
        <v>5</v>
      </c>
      <c r="B7" s="6">
        <v>0.14444570860140687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0.003248115584143645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7.103381806950214</v>
      </c>
    </row>
    <row r="14" spans="1:3" x14ac:dyDescent="0.25">
      <c r="A14" t="s">
        <v>12</v>
      </c>
      <c r="B14" s="6">
        <v>0.12782761501173218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1.26666</v>
      </c>
      <c r="C19" s="8" t="s">
        <v>19</v>
      </c>
    </row>
    <row r="20" spans="1:2" x14ac:dyDescent="0.25">
      <c r="A20" t="s">
        <v>20</v>
      </c>
      <c r="B20" s="10">
        <f>B17+B19*B18</f>
        <v>0.11964630000000001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18411616256</v>
      </c>
    </row>
    <row r="23" spans="1:2" x14ac:dyDescent="0.25">
      <c r="A23" t="s">
        <v>24</v>
      </c>
      <c r="B23" s="11">
        <v>5874995000</v>
      </c>
    </row>
    <row r="24" spans="1:2" x14ac:dyDescent="0.25">
      <c r="A24" t="s">
        <v>25</v>
      </c>
      <c r="B24" s="10">
        <f>B22/(B22+B23)</f>
        <v>0.7580973756250747</v>
      </c>
    </row>
    <row r="25" spans="1:2" x14ac:dyDescent="0.25">
      <c r="A25" t="s">
        <v>26</v>
      </c>
      <c r="B25" s="10">
        <f>1-B24</f>
        <v>0.24190262437492527</v>
      </c>
    </row>
    <row r="26" spans="1:2" x14ac:dyDescent="0.25">
      <c r="A26" t="s">
        <v>27</v>
      </c>
      <c r="B26" s="12">
        <f>B24*B20+B25*B21*(1-B8)</f>
        <v>0.10407693909971863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34186934000</v>
      </c>
      <c r="C29" s="8" t="s">
        <v>30</v>
      </c>
    </row>
    <row r="30" spans="1:2" x14ac:dyDescent="0.25">
      <c r="A30" t="s">
        <v>31</v>
      </c>
      <c r="B30" s="11">
        <v>2079630000</v>
      </c>
    </row>
    <row r="31" spans="1:2" x14ac:dyDescent="0.25">
      <c r="A31" t="s">
        <v>32</v>
      </c>
      <c r="B31" s="13">
        <v>257746000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0.005081632765289168</v>
      </c>
      <c r="C5" s="10">
        <f>Assumptions!B6</f>
        <v>0.005081632765289168</v>
      </c>
      <c r="D5" s="10">
        <f>Assumptions!B6</f>
        <v>0.005081632765289168</v>
      </c>
      <c r="E5" s="10">
        <f>Assumptions!B6</f>
        <v>0.005081632765289168</v>
      </c>
      <c r="F5" s="10">
        <f>Assumptions!B6</f>
        <v>0.005081632765289168</v>
      </c>
    </row>
    <row r="6" spans="1:6" x14ac:dyDescent="0.25">
      <c r="A6" t="s">
        <v>43</v>
      </c>
      <c r="B6" s="18">
        <f>Assumptions!B29*(1+B5)</f>
        <v>34360659443.959175</v>
      </c>
      <c r="C6" s="18">
        <f>B6*(1+C5)</f>
        <v>34535267696.82654</v>
      </c>
      <c r="D6" s="18">
        <f>C6*(1+D5)</f>
        <v>34710763244.71276</v>
      </c>
      <c r="E6" s="18">
        <f>D6*(1+E5)</f>
        <v>34887150596.52529</v>
      </c>
      <c r="F6" s="18">
        <f>E6*(1+F5)</f>
        <v>35064434284.084175</v>
      </c>
    </row>
    <row r="7" spans="1:6" x14ac:dyDescent="0.25">
      <c r="A7" t="s">
        <v>5</v>
      </c>
      <c r="B7" s="10">
        <f>Assumptions!B7</f>
        <v>0.14444570860140687</v>
      </c>
      <c r="C7" s="10">
        <f>Assumptions!B7</f>
        <v>0.14444570860140687</v>
      </c>
      <c r="D7" s="10">
        <f>Assumptions!B7</f>
        <v>0.14444570860140687</v>
      </c>
      <c r="E7" s="10">
        <f>Assumptions!B7</f>
        <v>0.14444570860140687</v>
      </c>
      <c r="F7" s="10">
        <f>Assumptions!B7</f>
        <v>0.14444570860140687</v>
      </c>
    </row>
    <row r="8" spans="1:6" x14ac:dyDescent="0.25">
      <c r="A8" t="s">
        <v>44</v>
      </c>
      <c r="B8" s="18">
        <f>B6*B7</f>
        <v>4963249801.394306</v>
      </c>
      <c r="C8" s="18">
        <f>C6*C7</f>
        <v>4988471214.207386</v>
      </c>
      <c r="D8" s="18">
        <f>D6*D7</f>
        <v>5013820792.978204</v>
      </c>
      <c r="E8" s="18">
        <f>E6*E7</f>
        <v>5039299188.99909</v>
      </c>
      <c r="F8" s="18">
        <f>F6*F7</f>
        <v>5064907056.872004</v>
      </c>
    </row>
    <row r="9" spans="1:6" x14ac:dyDescent="0.25">
      <c r="A9" t="s">
        <v>45</v>
      </c>
      <c r="B9" s="18">
        <f>B8*(1-Assumptions!B8)</f>
        <v>3920967343.101502</v>
      </c>
      <c r="C9" s="18">
        <f>C8*(1-Assumptions!B8)</f>
        <v>3940892259.223835</v>
      </c>
      <c r="D9" s="18">
        <f>D8*(1-Assumptions!B8)</f>
        <v>3960918426.452781</v>
      </c>
      <c r="E9" s="18">
        <f>E8*(1-Assumptions!B8)</f>
        <v>3981046359.3092813</v>
      </c>
      <c r="F9" s="18">
        <f>F8*(1-Assumptions!B8)</f>
        <v>4001276574.928883</v>
      </c>
    </row>
    <row r="10" spans="1:6" x14ac:dyDescent="0.25">
      <c r="A10" t="s">
        <v>46</v>
      </c>
      <c r="B10" s="18">
        <f>B6*Assumptions!B9</f>
        <v>111607393.42137632</v>
      </c>
      <c r="C10" s="18">
        <f>C6*Assumptions!B9</f>
        <v>112174541.20863488</v>
      </c>
      <c r="D10" s="18">
        <f>D6*Assumptions!B9</f>
        <v>112744571.03267196</v>
      </c>
      <c r="E10" s="18">
        <f>E6*Assumptions!B9</f>
        <v>113317497.53894006</v>
      </c>
      <c r="F10" s="18">
        <f>F6*Assumptions!B9</f>
        <v>113893335.44731453</v>
      </c>
    </row>
    <row r="11" spans="1:6" x14ac:dyDescent="0.25">
      <c r="A11" t="s">
        <v>47</v>
      </c>
      <c r="B11" s="18">
        <f>-B6*Assumptions!B10</f>
        <v>-343606594.43959177</v>
      </c>
      <c r="C11" s="18">
        <f>-C6*Assumptions!B10</f>
        <v>-345352676.9682654</v>
      </c>
      <c r="D11" s="18">
        <f>-D6*Assumptions!B10</f>
        <v>-347107632.44712764</v>
      </c>
      <c r="E11" s="18">
        <f>-E6*Assumptions!B10</f>
        <v>-348871505.96525294</v>
      </c>
      <c r="F11" s="18">
        <f>-F6*Assumptions!B10</f>
        <v>-350644342.84084177</v>
      </c>
    </row>
    <row r="12" spans="1:6" x14ac:dyDescent="0.25">
      <c r="A12" t="s">
        <v>48</v>
      </c>
      <c r="B12" s="18">
        <f>-(B6-Assumptions!B29)*Assumptions!B11</f>
        <v>173725443.9591751</v>
      </c>
      <c r="C12" s="18">
        <f>-(C6-B6)*Assumptions!B11</f>
        <v>174608252.86736298</v>
      </c>
      <c r="D12" s="18">
        <f>-(D6-C6)*Assumptions!B11</f>
        <v>175495547.88622284</v>
      </c>
      <c r="E12" s="18">
        <f>-(E6-D6)*Assumptions!B11</f>
        <v>176387351.81253052</v>
      </c>
      <c r="F12" s="18">
        <f>-(F6-E6)*Assumptions!B11</f>
        <v>177283687.55888367</v>
      </c>
    </row>
    <row r="13" spans="1:6" x14ac:dyDescent="0.25">
      <c r="A13" s="19" t="s">
        <v>49</v>
      </c>
      <c r="B13" s="20">
        <f>B9+B10+B11+B12</f>
        <v>3862693586.0424614</v>
      </c>
      <c r="C13" s="20">
        <f>C9+C10+C11+C12</f>
        <v>3882322376.3315673</v>
      </c>
      <c r="D13" s="20">
        <f>D9+D10+D11+D12</f>
        <v>3902050912.924548</v>
      </c>
      <c r="E13" s="20">
        <f>E9+E10+E11+E12</f>
        <v>3921879702.695499</v>
      </c>
      <c r="F13" s="20">
        <f>F9+F10+F11+F12</f>
        <v>3941809255.0942397</v>
      </c>
    </row>
    <row r="14" spans="1:6" x14ac:dyDescent="0.25">
      <c r="A14" t="s">
        <v>50</v>
      </c>
      <c r="B14" s="21">
        <f>1/(1+Assumptions!$B$26)^(1-0.5*Assumptions!$B$32)</f>
        <v>0.951700572527466</v>
      </c>
      <c r="C14" s="21">
        <f>1/(1+Assumptions!$B$26)^(2-0.5*Assumptions!$B$32)</f>
        <v>0.8619875470848047</v>
      </c>
      <c r="D14" s="21">
        <f>1/(1+Assumptions!$B$26)^(3-0.5*Assumptions!$B$32)</f>
        <v>0.7807314115152905</v>
      </c>
      <c r="E14" s="21">
        <f>1/(1+Assumptions!$B$26)^(4-0.5*Assumptions!$B$32)</f>
        <v>0.7071349684668814</v>
      </c>
      <c r="F14" s="21">
        <f>1/(1+Assumptions!$B$26)^(5-0.5*Assumptions!$B$32)</f>
        <v>0.6404761692092673</v>
      </c>
    </row>
    <row r="15" spans="1:6" x14ac:dyDescent="0.25">
      <c r="A15" s="19" t="s">
        <v>51</v>
      </c>
      <c r="B15" s="20">
        <f>B13*B14</f>
        <v>3676127697.334781</v>
      </c>
      <c r="C15" s="20">
        <f>C13*C14</f>
        <v>3346513542.1664977</v>
      </c>
      <c r="D15" s="20">
        <f>D13*D14</f>
        <v>3046453717.05211</v>
      </c>
      <c r="E15" s="20">
        <f>E13*E14</f>
        <v>2773298279.896484</v>
      </c>
      <c r="F15" s="20">
        <f>F13*F14</f>
        <v>2524634891.456394</v>
      </c>
    </row>
    <row r="17" spans="1:2" x14ac:dyDescent="0.25">
      <c r="A17" s="22" t="s">
        <v>52</v>
      </c>
      <c r="B17" s="23">
        <f>SUM(B15:F15)</f>
        <v>15367028127.906267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3941809255.0942397</v>
      </c>
    </row>
    <row r="5" spans="1:2" x14ac:dyDescent="0.25">
      <c r="A5" t="s">
        <v>56</v>
      </c>
      <c r="B5" s="18">
        <f>IF(Assumptions!$B$33=0,B4,B4-Forecast!F11-Forecast!F10-Forecast!F12)</f>
        <v>4001276574.928883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0.1955758933443722</v>
      </c>
    </row>
    <row r="7" spans="1:2" x14ac:dyDescent="0.25">
      <c r="A7" t="s">
        <v>58</v>
      </c>
      <c r="B7" s="18">
        <f>-MAX(Forecast!F9,0)*B6</f>
        <v>-782553240.6596261</v>
      </c>
    </row>
    <row r="8" spans="1:2" x14ac:dyDescent="0.25">
      <c r="A8" t="s">
        <v>59</v>
      </c>
      <c r="B8" s="18">
        <f>IF(OR(Assumptions!$B$33=0,Assumptions!B12&lt;=0),B5,MAX(B5+B7,0))</f>
        <v>3218723334.269257</v>
      </c>
    </row>
    <row r="9" spans="1:2" x14ac:dyDescent="0.25">
      <c r="A9" t="s">
        <v>60</v>
      </c>
      <c r="B9" s="18">
        <f>B8*(1+Assumptions!B12)/(Assumptions!B26-Assumptions!B12)</f>
        <v>41721283792.55548</v>
      </c>
    </row>
    <row r="10" spans="1:2" x14ac:dyDescent="0.25">
      <c r="A10" t="s">
        <v>61</v>
      </c>
      <c r="B10" s="18">
        <f>B9/(1+Assumptions!B26)^(5-0.5*Assumptions!B32)</f>
        <v>26721488017.948627</v>
      </c>
    </row>
    <row r="11" spans="1:2" x14ac:dyDescent="0.25">
      <c r="A11" t="s">
        <v>62</v>
      </c>
      <c r="B11" s="18">
        <f>Forecast!B17+B10</f>
        <v>42088516145.8549</v>
      </c>
    </row>
    <row r="12" spans="1:2" x14ac:dyDescent="0.25">
      <c r="A12" t="s">
        <v>63</v>
      </c>
      <c r="B12" s="18">
        <f>-Assumptions!B30</f>
        <v>-2079630000</v>
      </c>
    </row>
    <row r="13" spans="1:2" x14ac:dyDescent="0.25">
      <c r="A13" t="s">
        <v>64</v>
      </c>
      <c r="B13" s="18">
        <f>B11+B12</f>
        <v>40008886145.8549</v>
      </c>
    </row>
    <row r="14" spans="1:2" x14ac:dyDescent="0.25">
      <c r="A14" s="19" t="s">
        <v>65</v>
      </c>
      <c r="B14" s="24">
        <f>B13/Assumptions!B31</f>
        <v>155.22602153226393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5178800392.319318</v>
      </c>
    </row>
    <row r="18" spans="1:2" x14ac:dyDescent="0.25">
      <c r="A18" t="s">
        <v>60</v>
      </c>
      <c r="B18" s="18">
        <f>B17*Assumptions!B13</f>
        <v>36786996488.62767</v>
      </c>
    </row>
    <row r="19" spans="1:2" x14ac:dyDescent="0.25">
      <c r="A19" t="s">
        <v>61</v>
      </c>
      <c r="B19" s="18">
        <f>B18/(1+Assumptions!B26)^(5-0.5*Assumptions!B32)</f>
        <v>23561194587.75102</v>
      </c>
    </row>
    <row r="20" spans="1:2" x14ac:dyDescent="0.25">
      <c r="A20" t="s">
        <v>62</v>
      </c>
      <c r="B20" s="18">
        <f>Forecast!B17+B19</f>
        <v>38928222715.65729</v>
      </c>
    </row>
    <row r="21" spans="1:2" x14ac:dyDescent="0.25">
      <c r="A21" t="s">
        <v>63</v>
      </c>
      <c r="B21" s="18">
        <f>-Assumptions!B30</f>
        <v>-2079630000</v>
      </c>
    </row>
    <row r="22" spans="1:2" x14ac:dyDescent="0.25">
      <c r="A22" t="s">
        <v>64</v>
      </c>
      <c r="B22" s="18">
        <f>B20+B21</f>
        <v>36848592715.65729</v>
      </c>
    </row>
    <row r="23" spans="1:2" x14ac:dyDescent="0.25">
      <c r="A23" s="19" t="s">
        <v>65</v>
      </c>
      <c r="B23" s="25">
        <f>B22/Assumptions!B31</f>
        <v>142.96475101711485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155.22602153226393</v>
      </c>
    </row>
    <row r="29" spans="1:2" x14ac:dyDescent="0.25">
      <c r="A29" s="19" t="s">
        <v>73</v>
      </c>
      <c r="B29" s="12">
        <f>B28/B26-1</f>
        <v>1.0309567124462111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0.084077</v>
      </c>
      <c r="B5" s="31">
        <v>194.15780041660426</v>
      </c>
      <c r="C5" s="31">
        <v>199.1047642363656</v>
      </c>
      <c r="D5" s="31">
        <v>204.81762721041758</v>
      </c>
      <c r="E5" s="31">
        <v>211.50883617039588</v>
      </c>
      <c r="F5" s="31">
        <v>219.47741489095856</v>
      </c>
    </row>
    <row r="6" spans="1:6" x14ac:dyDescent="0.25">
      <c r="A6" s="30">
        <v>0.094077</v>
      </c>
      <c r="B6" s="31">
        <v>170.17915572217257</v>
      </c>
      <c r="C6" s="31">
        <v>173.13839302204744</v>
      </c>
      <c r="D6" s="31">
        <v>176.46737250347547</v>
      </c>
      <c r="E6" s="31">
        <v>180.25264835475036</v>
      </c>
      <c r="F6" s="31">
        <v>184.61007692517396</v>
      </c>
    </row>
    <row r="7" spans="1:6" x14ac:dyDescent="0.25">
      <c r="A7" s="30">
        <v>0.104077</v>
      </c>
      <c r="B7" s="31">
        <v>151.55244673588953</v>
      </c>
      <c r="C7" s="31">
        <v>153.30307696275668</v>
      </c>
      <c r="D7" s="32">
        <v>155.22590834936963</v>
      </c>
      <c r="E7" s="31">
        <v>157.35581025323742</v>
      </c>
      <c r="F7" s="31">
        <v>159.73774782569566</v>
      </c>
    </row>
    <row r="8" spans="1:6" x14ac:dyDescent="0.25">
      <c r="A8" s="30">
        <v>0.114077</v>
      </c>
      <c r="B8" s="31">
        <v>136.6585937470141</v>
      </c>
      <c r="C8" s="31">
        <v>137.6458272101158</v>
      </c>
      <c r="D8" s="31">
        <v>138.70196539120548</v>
      </c>
      <c r="E8" s="31">
        <v>139.83930143549313</v>
      </c>
      <c r="F8" s="31">
        <v>141.07323764640398</v>
      </c>
    </row>
    <row r="9" spans="1:6" x14ac:dyDescent="0.25">
      <c r="A9" s="30">
        <v>0.124077</v>
      </c>
      <c r="B9" s="31">
        <v>124.47217151357667</v>
      </c>
      <c r="C9" s="31">
        <v>124.96412647722278</v>
      </c>
      <c r="D9" s="31">
        <v>125.46952788430752</v>
      </c>
      <c r="E9" s="31">
        <v>125.99051968767367</v>
      </c>
      <c r="F9" s="31">
        <v>126.52972721085267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34186934000</v>
      </c>
      <c r="C5" s="18">
        <v>35441452000</v>
      </c>
      <c r="D5" s="18">
        <v>34233366000</v>
      </c>
      <c r="E5" s="18">
        <v>33671010000</v>
      </c>
      <c r="F5" s="8" t="s">
        <v>84</v>
      </c>
    </row>
    <row r="6" spans="1:6" x14ac:dyDescent="0.25">
      <c r="A6" t="s">
        <v>44</v>
      </c>
      <c r="B6" s="18">
        <v>2750407000</v>
      </c>
      <c r="C6" s="18">
        <v>4849973000</v>
      </c>
      <c r="D6" s="18">
        <v>5439646000</v>
      </c>
      <c r="E6" s="18">
        <v>6787646000</v>
      </c>
      <c r="F6" s="8" t="s">
        <v>85</v>
      </c>
    </row>
    <row r="7" spans="1:6" x14ac:dyDescent="0.25">
      <c r="A7" t="s">
        <v>86</v>
      </c>
      <c r="B7" s="18">
        <v>134310000</v>
      </c>
      <c r="C7" s="18">
        <v>115528000</v>
      </c>
      <c r="D7" s="18">
        <v>110164000</v>
      </c>
      <c r="E7" s="18">
        <v>87075000</v>
      </c>
      <c r="F7" s="8" t="s">
        <v>87</v>
      </c>
    </row>
    <row r="8" spans="1:6" x14ac:dyDescent="0.25">
      <c r="A8" t="s">
        <v>88</v>
      </c>
      <c r="B8" s="18">
        <v>188629000</v>
      </c>
      <c r="C8" s="18">
        <v>171503000</v>
      </c>
      <c r="D8" s="18">
        <v>99799000</v>
      </c>
      <c r="E8" s="18">
        <v>57214000</v>
      </c>
      <c r="F8" s="8" t="s">
        <v>89</v>
      </c>
    </row>
    <row r="9" spans="1:6" x14ac:dyDescent="0.25">
      <c r="A9" t="s">
        <v>90</v>
      </c>
      <c r="B9" s="18">
        <v>2386910000</v>
      </c>
      <c r="C9" s="18">
        <v>1997379000</v>
      </c>
      <c r="D9" s="18">
        <v>-571536000</v>
      </c>
      <c r="E9" s="18">
        <v>2321356000</v>
      </c>
      <c r="F9" s="8" t="s">
        <v>91</v>
      </c>
    </row>
    <row r="10" spans="1:6" x14ac:dyDescent="0.25">
      <c r="A10" t="s">
        <v>92</v>
      </c>
      <c r="B10" s="18">
        <v>5874995000</v>
      </c>
      <c r="C10" s="18">
        <v>4189239000</v>
      </c>
      <c r="D10" s="18">
        <v>4984028000</v>
      </c>
      <c r="E10" s="18">
        <v>6199136000</v>
      </c>
      <c r="F10" s="8" t="s">
        <v>93</v>
      </c>
    </row>
    <row r="11" spans="1:6" x14ac:dyDescent="0.25">
      <c r="A11" t="s">
        <v>94</v>
      </c>
      <c r="B11" s="18">
        <v>3795365000</v>
      </c>
      <c r="C11" s="18">
        <v>4950242000</v>
      </c>
      <c r="D11" s="18">
        <v>6512450000</v>
      </c>
      <c r="E11" s="18">
        <v>4814202000</v>
      </c>
      <c r="F11" s="8" t="s">
        <v>95</v>
      </c>
    </row>
    <row r="12" spans="1:6" x14ac:dyDescent="0.25">
      <c r="A12" t="s">
        <v>32</v>
      </c>
      <c r="B12" s="34">
        <v>257746000</v>
      </c>
      <c r="C12" s="34">
        <v>272019000</v>
      </c>
      <c r="D12" s="34">
        <v>283319000</v>
      </c>
      <c r="E12" s="34">
        <v>289824000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2026-09-19T00:06:58Z</dcterms:modified>
</cp:coreProperties>
</file>