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<sst xmlns="http://schemas.openxmlformats.org/spreadsheetml/2006/main" count="121" uniqueCount="108">
  <si>
    <t>Lennar Corporation (LEN)</t>
  </si>
  <si>
    <t>DCF Studio - Base case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</si>
  <si>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</si>
  <si>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</si>
  <si>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</si>
  <si>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</si>
  <si>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</si>
  <si>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</si>
  <si>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Year 1. Fades to the steady state by the final year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</si>
  <si>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</si>
  <si>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</si>
  <si>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</si>
  <si>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</si>
  <si>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</si>
  <si>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Depreciation alone, % of revenue</t>
  </si>
  <si>
    <t>The accounts do not separate it from amortisation</t>
  </si>
  <si>
    <t>Discount rate</t>
  </si>
  <si>
    <t>Risk-free rate</t>
  </si>
  <si>
    <t>US 10-year Treasury (^TNX), 2026-11-02</t>
  </si>
  <si>
    <t>Equity risk premium</t>
  </si>
  <si>
    <t>Beta</t>
  </si>
  <si>
    <t>As reported</t>
  </si>
  <si>
    <t>Cost of equity</t>
  </si>
  <si>
    <t>Cost of debt</t>
  </si>
  <si>
    <t>Assumed: risk-free + 200bp (interest expense not reported)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</si>
  <si>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</si>
  <si>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</si>
  <si>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</si>
  <si>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</si>
  <si>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</si>
  <si>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</si>
  <si>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</si>
  <si>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2025-11-30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</si>
  <si>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</si>
  <si>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</si>
  <si>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</si>
  <si>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</si>
  <si>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</si>
  <si>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</si>
  <si>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</si>
  <si>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</si>
  <si>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</si>
  <si>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</si>
  <si>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</si>
  <si>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</si>
  <si>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FY31</t>
  </si>
  <si>
    <t>FY32</t>
  </si>
  <si>
    <t>FY33</t>
  </si>
  <si>
    <t>FY34</t>
  </si>
  <si>
    <t>FY35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</si>
  <si>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</si>
  <si>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</si>
  <si>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</si>
  <si>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</si>
  <si>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</si>
  <si>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</si>
  <si>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</si>
  <si>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</si>
  <si>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</si>
  <si>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</si>
  <si>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Steady-state capital expenditure, % of revenue</t>
  </si>
  <si>
    <t>Valuation (USD m, except per share)</t>
  </si>
  <si>
    <t>Terminal value - perpetuity growth</t>
  </si>
  <si>
    <t>Final year free cashflow</t>
  </si>
  <si>
    <t>Operating profit before amortisation, after tax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</si>
  <si>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</si>
  <si>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</si>
  <si>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</si>
  <si>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</si>
  <si>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</si>
  <si>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</si>
  <si>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</si>
  <si>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</si>
  <si>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</si>
  <si>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</si>
  <si>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</si>
  <si>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</si>
  <si>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(USD)</t>
  </si>
  <si>
    <t>Conversion, USD to USD</t>
  </si>
  <si>
    <t>Same currency, no conversion</t>
  </si>
  <si>
    <t>Value per share (USD)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</si>
  <si>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</si>
  <si>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</si>
  <si>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</si>
  <si>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</si>
  <si>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Fiscal year end</t>
  </si>
  <si>
    <t>2025-11-30</t>
  </si>
  <si>
    <t>2024-11-30</t>
  </si>
  <si>
    <t>2023-11-30</t>
  </si>
  <si>
    <t>2022-11-30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</si>
  <si>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</si>
  <si>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</si>
  <si>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</si>
  <si>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</si>
  <si>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</si>
  <si>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</si>
  <si>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</si>
  <si>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</si>
  <si>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</si>
  <si>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</si>
  <si>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</si>
  <si>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</si>
  <si>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</si>
  <si>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</si>
  <si>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</si>
  <si>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Adjusted: Reported capital expenditure averages just 0.37% of revenue, which is too low to be the company's real investment - property trusts and similar structures invest through lines that are not reported as capex. Capex has been set to 1.00% of revenue so the forecast is not handed free growth. The accounts do not separate depreciation from amortisation, so the combined charge is used - if a large part of it is amortisation of an acquisition, the reported capex is probably right and this substitution is not. Override it if the reported figure is right.</t>
  </si>
  <si>
    <t>Adjusted: Capital expenditure runs at 1.0% of revenue against depreciation of 0.3%. A perpetuity has to be a steady state, so the forecast tapers capex to maintenance at depreciation plus the reinvestment terminal growth requires (g/ROIC of NOPAT), and the terminal year carries on from there. The bridge is shown under Terminal Value.</t>
  </si>
  <si>
    <t>Data: Yahoo Finance. Risk-free rate: US 10-year Treasury (^TNX), 2026-11-02.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</si>
</sst>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i/>
      <color rgb="FF666666"/>
      <sz val="9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/>
    <xf numFmtId="0" fontId="0" fillId="0" borderId="1" xfId="0" applyBorder="1"/>
    <xf numFmtId="10" fontId="4" fillId="2" borderId="0" xfId="0" applyNumberFormat="1" applyFont="1" applyFill="1"/>
    <xf numFmtId="0" fontId="5" fillId="0" borderId="0" xfId="0" applyFont="1" applyAlignment="1">
      <alignment indent="1"/>
    </xf>
    <xf numFmtId="164" fontId="4" fillId="2" borderId="0" xfId="0" applyNumberFormat="1" applyFont="1" applyFill="1"/>
    <xf numFmtId="165" fontId="4" fillId="2" borderId="0" xfId="0" applyNumberFormat="1" applyFont="1" applyFill="1"/>
    <xf numFmtId="10" fontId="0" fillId="0" borderId="0" xfId="0" applyNumberFormat="1"/>
    <xf numFmtId="166" fontId="4" fillId="2" borderId="0" xfId="0" applyNumberFormat="1" applyFont="1" applyFill="1"/>
    <xf numFmtId="10" fontId="6" fillId="0" borderId="0" xfId="0" applyNumberFormat="1" applyFont="1"/>
    <xf numFmtId="3" fontId="4" fillId="2" borderId="0" xfId="0" applyNumberFormat="1" applyFont="1" applyFill="1"/>
    <xf numFmtId="1" fontId="4" fillId="2" borderId="0" xfId="0" applyNumberFormat="1" applyFont="1" applyFill="1"/>
    <xf numFmtId="0" fontId="7" fillId="0" borderId="0" xfId="0" applyFont="1"/>
    <xf numFmtId="0" fontId="8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right"/>
    </xf>
    <xf numFmtId="166" fontId="0" fillId="0" borderId="0" xfId="0" applyNumberFormat="1"/>
    <xf numFmtId="0" fontId="6" fillId="0" borderId="0" xfId="0" applyFont="1"/>
    <xf numFmtId="166" fontId="6" fillId="0" borderId="0" xfId="0" applyNumberFormat="1" applyFont="1"/>
    <xf numFmtId="167" fontId="0" fillId="0" borderId="0" xfId="0" applyNumberFormat="1"/>
    <xf numFmtId="0" fontId="6" fillId="0" borderId="2" xfId="0" applyFont="1" applyBorder="1"/>
    <xf numFmtId="166" fontId="6" fillId="0" borderId="3" xfId="0" applyNumberFormat="1" applyFont="1" applyBorder="1"/>
    <xf numFmtId="168" fontId="7" fillId="0" borderId="0" xfId="0" applyNumberFormat="1" applyFont="1"/>
    <xf numFmtId="168" fontId="6" fillId="0" borderId="0" xfId="0" applyNumberFormat="1" applyFont="1"/>
    <xf numFmtId="168" fontId="4" fillId="2" borderId="0" xfId="0" applyNumberFormat="1" applyFont="1" applyFill="1"/>
    <xf numFmtId="167" fontId="4" fillId="2" borderId="0" xfId="0" applyNumberFormat="1" applyFont="1" applyFill="1"/>
    <xf numFmtId="168" fontId="0" fillId="0" borderId="0" xfId="0" applyNumberFormat="1"/>
    <xf numFmtId="10" fontId="6" fillId="0" borderId="1" xfId="0" applyNumberFormat="1" applyFont="1" applyBorder="1" applyAlignment="1">
      <alignment horizontal="right"/>
    </xf>
    <xf numFmtId="10" fontId="6" fillId="0" borderId="4" xfId="0" applyNumberFormat="1" applyFont="1" applyBorder="1"/>
    <xf numFmtId="168" fontId="0" fillId="0" borderId="0" xfId="0" applyNumberFormat="1" applyAlignment="1">
      <alignment horizontal="right"/>
    </xf>
    <xf numFmtId="168" fontId="6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5" spans="1:3" x14ac:dyDescent="0.25">
      <c r="A5" s="3" t="s">
        <v>2</v>
      </c>
      <c r="B5" s="4"/>
      <c r="C5" s="4"/>
    </row>
    <row r="6" spans="1:2" x14ac:dyDescent="0.25">
      <c r="A6" t="s">
        <v>3</v>
      </c>
      <c r="B6" s="5">
        <v>-0.07855354095222467</v>
      </c>
    </row>
    <row r="7" spans="1:2" x14ac:dyDescent="0.25">
      <c r="A7" t="s">
        <v>4</v>
      </c>
      <c r="B7" s="5">
        <v>0.14444570860140687</v>
      </c>
    </row>
    <row r="8" spans="1:2" x14ac:dyDescent="0.25">
      <c r="A8" t="s">
        <v>5</v>
      </c>
      <c r="B8" s="5">
        <v>0.21</v>
      </c>
    </row>
    <row r="9" spans="1:2" x14ac:dyDescent="0.25">
      <c r="A9" t="s">
        <v>6</v>
      </c>
      <c r="B9" s="5">
        <v>0.003248115584143645</v>
      </c>
    </row>
    <row r="10" spans="1:3" x14ac:dyDescent="0.25">
      <c r="A10" t="s">
        <v>7</v>
      </c>
      <c r="B10" s="5">
        <v>0.01</v>
      </c>
      <c r="C10" s="6" t="s">
        <v>8</v>
      </c>
    </row>
    <row r="11" spans="1:2" x14ac:dyDescent="0.25">
      <c r="A11" t="s">
        <v>9</v>
      </c>
      <c r="B11" s="5">
        <v>0.5</v>
      </c>
    </row>
    <row r="12" spans="1:2" x14ac:dyDescent="0.25">
      <c r="A12" t="s">
        <v>10</v>
      </c>
      <c r="B12" s="5">
        <v>0.025</v>
      </c>
    </row>
    <row r="13" spans="1:2" x14ac:dyDescent="0.25">
      <c r="A13" t="s">
        <v>11</v>
      </c>
      <c r="B13" s="7">
        <v>7.890783363498048</v>
      </c>
    </row>
    <row r="14" spans="1:3" x14ac:dyDescent="0.25">
      <c r="A14" t="s">
        <v>12</v>
      </c>
      <c r="B14" s="5">
        <v>0.12782761501173218</v>
      </c>
      <c r="C14" s="6" t="s">
        <v>13</v>
      </c>
    </row>
    <row r="15" spans="1:3" x14ac:dyDescent="0.25">
      <c r="A15" t="s">
        <v>14</v>
      </c>
      <c r="B15" s="5">
        <v>0.003248115584143645</v>
      </c>
      <c r="C15" s="6" t="s">
        <v>15</v>
      </c>
    </row>
    <row r="16" spans="1:3" x14ac:dyDescent="0.25">
      <c r="A16" s="3" t="s">
        <v>16</v>
      </c>
      <c r="B16" s="4"/>
      <c r="C16" s="4"/>
    </row>
    <row r="17" spans="1:3" x14ac:dyDescent="0.25">
      <c r="A17" t="s">
        <v>17</v>
      </c>
      <c r="B17" s="5">
        <v>0.048940000000000004</v>
      </c>
      <c r="C17" s="6" t="s">
        <v>18</v>
      </c>
    </row>
    <row r="18" spans="1:2" x14ac:dyDescent="0.25">
      <c r="A18" t="s">
        <v>19</v>
      </c>
      <c r="B18" s="5">
        <v>0.0423</v>
      </c>
    </row>
    <row r="19" spans="1:3" x14ac:dyDescent="0.25">
      <c r="A19" t="s">
        <v>20</v>
      </c>
      <c r="B19" s="8">
        <v>1.25192</v>
      </c>
      <c r="C19" s="6" t="s">
        <v>21</v>
      </c>
    </row>
    <row r="20" spans="1:2" x14ac:dyDescent="0.25">
      <c r="A20" t="s">
        <v>22</v>
      </c>
      <c r="B20" s="9">
        <f>B17+B19*B18</f>
        <v>0.101896216</v>
      </c>
    </row>
    <row r="21" spans="1:3" x14ac:dyDescent="0.25">
      <c r="A21" t="s">
        <v>23</v>
      </c>
      <c r="B21" s="5">
        <v>0.06894</v>
      </c>
      <c r="C21" s="6" t="s">
        <v>24</v>
      </c>
    </row>
    <row r="22" spans="1:2" x14ac:dyDescent="0.25">
      <c r="A22" t="s">
        <v>25</v>
      </c>
      <c r="B22" s="10">
        <v>20683046912</v>
      </c>
    </row>
    <row r="23" spans="1:2" x14ac:dyDescent="0.25">
      <c r="A23" t="s">
        <v>26</v>
      </c>
      <c r="B23" s="10">
        <v>5874995000</v>
      </c>
    </row>
    <row r="24" spans="1:2" x14ac:dyDescent="0.25">
      <c r="A24" t="s">
        <v>27</v>
      </c>
      <c r="B24" s="9">
        <f>B22/(B22+B23)</f>
        <v>0.7787865905375562</v>
      </c>
    </row>
    <row r="25" spans="1:2" x14ac:dyDescent="0.25">
      <c r="A25" t="s">
        <v>28</v>
      </c>
      <c r="B25" s="9">
        <f>1-B24</f>
        <v>0.22121340946244383</v>
      </c>
    </row>
    <row r="26" spans="1:2" x14ac:dyDescent="0.25">
      <c r="A26" t="s">
        <v>29</v>
      </c>
      <c r="B26" s="11">
        <f>B24*B20+B25*B21*(1-B8)</f>
        <v>0.09140326408150767</v>
      </c>
    </row>
    <row r="28" spans="1:3" x14ac:dyDescent="0.25">
      <c r="A28" s="3" t="s">
        <v>30</v>
      </c>
      <c r="B28" s="4"/>
      <c r="C28" s="4"/>
    </row>
    <row r="29" spans="1:3" x14ac:dyDescent="0.25">
      <c r="A29" t="s">
        <v>31</v>
      </c>
      <c r="B29" s="10">
        <v>34186934000</v>
      </c>
      <c r="C29" s="6" t="s">
        <v>32</v>
      </c>
    </row>
    <row r="30" spans="1:2" x14ac:dyDescent="0.25">
      <c r="A30" t="s">
        <v>33</v>
      </c>
      <c r="B30" s="10">
        <v>2079630000</v>
      </c>
    </row>
    <row r="31" spans="1:2" x14ac:dyDescent="0.25">
      <c r="A31" t="s">
        <v>34</v>
      </c>
      <c r="B31" s="12">
        <v>257746000</v>
      </c>
    </row>
    <row r="32" spans="1:2" x14ac:dyDescent="0.25">
      <c r="A32" t="s">
        <v>35</v>
      </c>
      <c r="B32" s="13">
        <v>1</v>
      </c>
    </row>
    <row r="33" spans="1:2" x14ac:dyDescent="0.25">
      <c r="A33" t="s">
        <v>36</v>
      </c>
      <c r="B33" s="13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11" width="15" customWidth="1"/>
  </cols>
  <sheetData>
    <row r="1" spans="1:1" x14ac:dyDescent="0.25">
      <c r="A1" s="14" t="s">
        <v>37</v>
      </c>
    </row>
    <row r="2" spans="1:1" x14ac:dyDescent="0.25">
      <c r="A2" s="15" t="s">
        <v>38</v>
      </c>
    </row>
    <row r="4" spans="1:11" x14ac:dyDescent="0.25">
      <c r="A4" s="16" t="s">
        <v>39</v>
      </c>
      <c r="B4" s="17" t="s">
        <v>40</v>
      </c>
      <c r="C4" s="17" t="s">
        <v>41</v>
      </c>
      <c r="D4" s="17" t="s">
        <v>42</v>
      </c>
      <c r="E4" s="17" t="s">
        <v>43</v>
      </c>
      <c r="F4" s="17" t="s">
        <v>44</v>
      </c>
      <c r="G4" s="17" t="s">
        <v>45</v>
      </c>
      <c r="H4" s="17" t="s">
        <v>46</v>
      </c>
      <c r="I4" s="17" t="s">
        <v>47</v>
      </c>
      <c r="J4" s="17" t="s">
        <v>48</v>
      </c>
      <c r="K4" s="17" t="s">
        <v>49</v>
      </c>
    </row>
    <row r="5" spans="1:11" x14ac:dyDescent="0.25">
      <c r="A5" t="s">
        <v>3</v>
      </c>
      <c r="B5" s="9">
        <f>Assumptions!B6</f>
        <v>-0.07855354095222467</v>
      </c>
      <c r="C5" s="5">
        <v>0.029842557670767267</v>
      </c>
      <c r="D5" s="5">
        <v>0.029237237961921358</v>
      </c>
      <c r="E5" s="5">
        <v>0.02863191825307545</v>
      </c>
      <c r="F5" s="5">
        <v>0.028026598544229543</v>
      </c>
      <c r="G5" s="5">
        <v>0.027421278835383634</v>
      </c>
      <c r="H5" s="5">
        <v>0.026815959126537725</v>
      </c>
      <c r="I5" s="5">
        <v>0.02621063941769182</v>
      </c>
      <c r="J5" s="5">
        <v>0.02560531970884591</v>
      </c>
      <c r="K5" s="5">
        <v>0.025</v>
      </c>
    </row>
    <row r="6" spans="1:11" x14ac:dyDescent="0.25">
      <c r="A6" t="s">
        <v>50</v>
      </c>
      <c r="B6" s="18">
        <f>Assumptions!B29*(1+B5)</f>
        <v>31501429280</v>
      </c>
      <c r="C6" s="18">
        <f>B6*(1+C5)</f>
        <v>32441512499.999996</v>
      </c>
      <c r="D6" s="18">
        <f>C6*(1+D5)</f>
        <v>33390012720.807144</v>
      </c>
      <c r="E6" s="18">
        <f>D6*(1+E5)</f>
        <v>34346032835.498444</v>
      </c>
      <c r="F6" s="18">
        <f>E6*(1+F5)</f>
        <v>35308635309.36589</v>
      </c>
      <c r="G6" s="18">
        <f>F6*(1+G5)</f>
        <v>36276843243.48088</v>
      </c>
      <c r="H6" s="18">
        <f>G6*(1+H5)</f>
        <v>37249641589.137886</v>
      </c>
      <c r="I6" s="18">
        <f>H6*(1+I5)</f>
        <v>38225978513.269035</v>
      </c>
      <c r="J6" s="18">
        <f>I6*(1+J5)</f>
        <v>39204766914.28477</v>
      </c>
      <c r="K6" s="18">
        <f>J6*(1+K5)</f>
        <v>40184886087.141884</v>
      </c>
    </row>
    <row r="7" spans="1:11" x14ac:dyDescent="0.25">
      <c r="A7" t="s">
        <v>4</v>
      </c>
      <c r="B7" s="9">
        <f>Assumptions!B7</f>
        <v>0.14444570860140687</v>
      </c>
      <c r="C7" s="9">
        <f>Assumptions!B7</f>
        <v>0.14444570860140687</v>
      </c>
      <c r="D7" s="9">
        <f>Assumptions!B7</f>
        <v>0.14444570860140687</v>
      </c>
      <c r="E7" s="9">
        <f>Assumptions!B7</f>
        <v>0.14444570860140687</v>
      </c>
      <c r="F7" s="9">
        <f>Assumptions!B7</f>
        <v>0.14444570860140687</v>
      </c>
      <c r="G7" s="9">
        <f>Assumptions!B7</f>
        <v>0.14444570860140687</v>
      </c>
      <c r="H7" s="9">
        <f>Assumptions!B7</f>
        <v>0.14444570860140687</v>
      </c>
      <c r="I7" s="9">
        <f>Assumptions!B7</f>
        <v>0.14444570860140687</v>
      </c>
      <c r="J7" s="9">
        <f>Assumptions!B7</f>
        <v>0.14444570860140687</v>
      </c>
      <c r="K7" s="9">
        <f>Assumptions!B7</f>
        <v>0.14444570860140687</v>
      </c>
    </row>
    <row r="8" spans="1:11" x14ac:dyDescent="0.25">
      <c r="A8" t="s">
        <v>51</v>
      </c>
      <c r="B8" s="18">
        <f>B6*B7</f>
        <v>4550246274.306706</v>
      </c>
      <c r="C8" s="18">
        <f>C6*C7</f>
        <v>4686037261.163898</v>
      </c>
      <c r="D8" s="18">
        <f>D6*D7</f>
        <v>4823044047.666978</v>
      </c>
      <c r="E8" s="18">
        <f>E6*E7</f>
        <v>4961137050.570761</v>
      </c>
      <c r="F8" s="18">
        <f>F6*F7</f>
        <v>5100180847.010011</v>
      </c>
      <c r="G8" s="18">
        <f>G6*G7</f>
        <v>5240034328.126755</v>
      </c>
      <c r="H8" s="18">
        <f>H6*H7</f>
        <v>5380550874.491458</v>
      </c>
      <c r="I8" s="18">
        <f>I6*I7</f>
        <v>5521578553.3313</v>
      </c>
      <c r="J8" s="18">
        <f>J6*J7</f>
        <v>5662960337.486855</v>
      </c>
      <c r="K8" s="18">
        <f>K6*K7</f>
        <v>5804534345.924026</v>
      </c>
    </row>
    <row r="9" spans="1:11" x14ac:dyDescent="0.25">
      <c r="A9" t="s">
        <v>52</v>
      </c>
      <c r="B9" s="18">
        <f>B8*(1-Assumptions!B8)</f>
        <v>3594694556.702298</v>
      </c>
      <c r="C9" s="18">
        <f>C8*(1-Assumptions!B8)</f>
        <v>3701969436.31948</v>
      </c>
      <c r="D9" s="18">
        <f>D8*(1-Assumptions!B8)</f>
        <v>3810204797.656913</v>
      </c>
      <c r="E9" s="18">
        <f>E8*(1-Assumptions!B8)</f>
        <v>3919298269.950901</v>
      </c>
      <c r="F9" s="18">
        <f>F8*(1-Assumptions!B8)</f>
        <v>4029142869.1379085</v>
      </c>
      <c r="G9" s="18">
        <f>G8*(1-Assumptions!B8)</f>
        <v>4139627119.2201366</v>
      </c>
      <c r="H9" s="18">
        <f>H8*(1-Assumptions!B8)</f>
        <v>4250635190.848252</v>
      </c>
      <c r="I9" s="18">
        <f>I8*(1-Assumptions!B8)</f>
        <v>4362047057.131727</v>
      </c>
      <c r="J9" s="18">
        <f>J8*(1-Assumptions!B8)</f>
        <v>4473738666.614615</v>
      </c>
      <c r="K9" s="18">
        <f>K8*(1-Assumptions!B8)</f>
        <v>4585582133.279981</v>
      </c>
    </row>
    <row r="10" spans="1:11" x14ac:dyDescent="0.25">
      <c r="A10" t="s">
        <v>53</v>
      </c>
      <c r="B10" s="18">
        <f>B6*Assumptions!B9</f>
        <v>102320283.36716692</v>
      </c>
      <c r="C10" s="18">
        <f>C6*Assumptions!B9</f>
        <v>105373782.32444085</v>
      </c>
      <c r="D10" s="18">
        <f>D6*Assumptions!B9</f>
        <v>108454620.67320824</v>
      </c>
      <c r="E10" s="18">
        <f>E6*Assumptions!B9</f>
        <v>111559884.50649184</v>
      </c>
      <c r="F10" s="18">
        <f>F6*Assumptions!B9</f>
        <v>114686528.60319592</v>
      </c>
      <c r="G10" s="18">
        <f>G6*Assumptions!B9</f>
        <v>117831379.88268635</v>
      </c>
      <c r="H10" s="18">
        <f>H6*Assumptions!B9</f>
        <v>120991141.34944402</v>
      </c>
      <c r="I10" s="18">
        <f>I6*Assumptions!B9</f>
        <v>124162396.52808928</v>
      </c>
      <c r="J10" s="18">
        <f>J6*Assumptions!B9</f>
        <v>127341614.38700752</v>
      </c>
      <c r="K10" s="18">
        <f>K6*Assumptions!B9</f>
        <v>130525154.7466827</v>
      </c>
    </row>
    <row r="11" spans="1:11" x14ac:dyDescent="0.25">
      <c r="A11" t="s">
        <v>54</v>
      </c>
      <c r="B11" s="18">
        <f>-B6*B19</f>
        <v>-315014292.8</v>
      </c>
      <c r="C11" s="18">
        <f>-C6*C19</f>
        <v>-380523417.99624276</v>
      </c>
      <c r="D11" s="18">
        <f>-D6*D19</f>
        <v>-449397616.22849375</v>
      </c>
      <c r="E11" s="18">
        <f>-E6*E19</f>
        <v>-521666933.8817202</v>
      </c>
      <c r="F11" s="18">
        <f>-F6*F19</f>
        <v>-597354527.1173435</v>
      </c>
      <c r="G11" s="18">
        <f>-G6*G19</f>
        <v>-676476332.1025565</v>
      </c>
      <c r="H11" s="18">
        <f>-H6*H19</f>
        <v>-759040749.350871</v>
      </c>
      <c r="I11" s="18">
        <f>-I6*I19</f>
        <v>-845048344.0025663</v>
      </c>
      <c r="J11" s="18">
        <f>-J6*J19</f>
        <v>-934491563.8598021</v>
      </c>
      <c r="K11" s="18">
        <f>-K6*K19</f>
        <v>-1027354476.966907</v>
      </c>
    </row>
    <row r="12" spans="1:11" x14ac:dyDescent="0.25">
      <c r="A12" t="s">
        <v>55</v>
      </c>
      <c r="B12" s="18">
        <f>-(B6-Assumptions!B29)*Assumptions!B11</f>
        <v>1342752360</v>
      </c>
      <c r="C12" s="18">
        <f>-(C6-B6)*Assumptions!B11</f>
        <v>-470041609.9999981</v>
      </c>
      <c r="D12" s="18">
        <f>-(D6-C6)*Assumptions!B11</f>
        <v>-474250110.403574</v>
      </c>
      <c r="E12" s="18">
        <f>-(E6-D6)*Assumptions!B11</f>
        <v>-478010057.3456497</v>
      </c>
      <c r="F12" s="18">
        <f>-(F6-E6)*Assumptions!B11</f>
        <v>-481301236.93372345</v>
      </c>
      <c r="G12" s="18">
        <f>-(G6-F6)*Assumptions!B11</f>
        <v>-484103967.0574951</v>
      </c>
      <c r="H12" s="18">
        <f>-(H6-G6)*Assumptions!B11</f>
        <v>-486399172.82850266</v>
      </c>
      <c r="I12" s="18">
        <f>-(I6-H6)*Assumptions!B11</f>
        <v>-488168462.06557465</v>
      </c>
      <c r="J12" s="18">
        <f>-(J6-I6)*Assumptions!B11</f>
        <v>-489394200.5078659</v>
      </c>
      <c r="K12" s="18">
        <f>-(K6-J6)*Assumptions!B11</f>
        <v>-490059586.42855835</v>
      </c>
    </row>
    <row r="13" spans="1:11" x14ac:dyDescent="0.25">
      <c r="A13" s="19" t="s">
        <v>56</v>
      </c>
      <c r="B13" s="20">
        <f>B9+B10+B11+B12</f>
        <v>4724752907.2694645</v>
      </c>
      <c r="C13" s="20">
        <f>C9+C10+C11+C12</f>
        <v>2956778190.6476803</v>
      </c>
      <c r="D13" s="20">
        <f>D9+D10+D11+D12</f>
        <v>2995011691.6980534</v>
      </c>
      <c r="E13" s="20">
        <f>E9+E10+E11+E12</f>
        <v>3031181163.230023</v>
      </c>
      <c r="F13" s="20">
        <f>F9+F10+F11+F12</f>
        <v>3065173633.6900377</v>
      </c>
      <c r="G13" s="20">
        <f>G9+G10+G11+G12</f>
        <v>3096878199.942771</v>
      </c>
      <c r="H13" s="20">
        <f>H9+H10+H11+H12</f>
        <v>3126186410.018322</v>
      </c>
      <c r="I13" s="20">
        <f>I9+I10+I11+I12</f>
        <v>3152992647.5916758</v>
      </c>
      <c r="J13" s="20">
        <f>J9+J10+J11+J12</f>
        <v>3177194516.633955</v>
      </c>
      <c r="K13" s="20">
        <f>K9+K10+K11+K12</f>
        <v>3198693224.6311984</v>
      </c>
    </row>
    <row r="14" spans="1:11" x14ac:dyDescent="0.25">
      <c r="A14" t="s">
        <v>57</v>
      </c>
      <c r="B14" s="21">
        <f>1/(1+Assumptions!$B$26)^(1-0.5*Assumptions!$B$32)</f>
        <v>0.957210327957241</v>
      </c>
      <c r="C14" s="21">
        <f>1/(1+Assumptions!$B$26)^(2-0.5*Assumptions!$B$32)</f>
        <v>0.8770455059641046</v>
      </c>
      <c r="D14" s="21">
        <f>1/(1+Assumptions!$B$26)^(3-0.5*Assumptions!$B$32)</f>
        <v>0.803594358591368</v>
      </c>
      <c r="E14" s="21">
        <f>1/(1+Assumptions!$B$26)^(4-0.5*Assumptions!$B$32)</f>
        <v>0.7362946264116672</v>
      </c>
      <c r="F14" s="21">
        <f>1/(1+Assumptions!$B$26)^(5-0.5*Assumptions!$B$32)</f>
        <v>0.6746311383183472</v>
      </c>
      <c r="G14" s="21">
        <f>1/(1+Assumptions!$B$26)^(6-0.5*Assumptions!$B$32)</f>
        <v>0.6181318679545059</v>
      </c>
      <c r="H14" s="21">
        <f>1/(1+Assumptions!$B$26)^(7-0.5*Assumptions!$B$32)</f>
        <v>0.5663643204097499</v>
      </c>
      <c r="I14" s="21">
        <f>1/(1+Assumptions!$B$26)^(8-0.5*Assumptions!$B$32)</f>
        <v>0.5189322215252721</v>
      </c>
      <c r="J14" s="21">
        <f>1/(1+Assumptions!$B$26)^(9-0.5*Assumptions!$B$32)</f>
        <v>0.47547248446429186</v>
      </c>
      <c r="K14" s="21">
        <f>1/(1+Assumptions!$B$26)^(10-0.5*Assumptions!$B$32)</f>
        <v>0.4356524303273321</v>
      </c>
    </row>
    <row r="15" spans="1:11" x14ac:dyDescent="0.25">
      <c r="A15" s="19" t="s">
        <v>58</v>
      </c>
      <c r="B15" s="20">
        <f>B13*B14</f>
        <v>4522582279.884332</v>
      </c>
      <c r="C15" s="20">
        <f>C13*C14</f>
        <v>2593229024.2402244</v>
      </c>
      <c r="D15" s="20">
        <f>D13*D14</f>
        <v>2406774499.363745</v>
      </c>
      <c r="E15" s="20">
        <f>E13*E14</f>
        <v>2231842402.1665325</v>
      </c>
      <c r="F15" s="20">
        <f>F13*F14</f>
        <v>2067861577.6396947</v>
      </c>
      <c r="G15" s="20">
        <f>G13*G14</f>
        <v>1914279106.558213</v>
      </c>
      <c r="H15" s="20">
        <f>H13*H14</f>
        <v>1770560441.5842228</v>
      </c>
      <c r="I15" s="20">
        <f>I13*I14</f>
        <v>1636189479.0675976</v>
      </c>
      <c r="J15" s="20">
        <f>J13*J14</f>
        <v>1510668570.4502714</v>
      </c>
      <c r="K15" s="20">
        <f>K13*K14</f>
        <v>1393518477.1821523</v>
      </c>
    </row>
    <row r="17" spans="1:2" x14ac:dyDescent="0.25">
      <c r="A17" s="22" t="s">
        <v>59</v>
      </c>
      <c r="B17" s="23">
        <f>SUM(B15:K15)</f>
        <v>22047505858.136982</v>
      </c>
    </row>
    <row r="19" spans="1:11" x14ac:dyDescent="0.25">
      <c r="A19" t="s">
        <v>7</v>
      </c>
      <c r="B19" s="9">
        <f>Assumptions!$B$10+($B$20-Assumptions!$B$10)*0/9</f>
        <v>0.01</v>
      </c>
      <c r="C19" s="9">
        <f>Assumptions!$B$10+($B$20-Assumptions!$B$10)*1/9</f>
        <v>0.011729521488748184</v>
      </c>
      <c r="D19" s="9">
        <f>Assumptions!$B$10+($B$20-Assumptions!$B$10)*2/9</f>
        <v>0.013459042977496366</v>
      </c>
      <c r="E19" s="9">
        <f>Assumptions!$B$10+($B$20-Assumptions!$B$10)*3/9</f>
        <v>0.01518856446624455</v>
      </c>
      <c r="F19" s="9">
        <f>Assumptions!$B$10+($B$20-Assumptions!$B$10)*4/9</f>
        <v>0.016918085954992734</v>
      </c>
      <c r="G19" s="9">
        <f>Assumptions!$B$10+($B$20-Assumptions!$B$10)*5/9</f>
        <v>0.018647607443740916</v>
      </c>
      <c r="H19" s="9">
        <f>Assumptions!$B$10+($B$20-Assumptions!$B$10)*6/9</f>
        <v>0.0203771289324891</v>
      </c>
      <c r="I19" s="9">
        <f>Assumptions!$B$10+($B$20-Assumptions!$B$10)*7/9</f>
        <v>0.022106650421237287</v>
      </c>
      <c r="J19" s="9">
        <f>Assumptions!$B$10+($B$20-Assumptions!$B$10)*8/9</f>
        <v>0.023836171909985465</v>
      </c>
      <c r="K19" s="9">
        <f>Assumptions!$B$10+($B$20-Assumptions!$B$10)*9/9</f>
        <v>0.02556569339873365</v>
      </c>
    </row>
    <row r="20" spans="1:2" x14ac:dyDescent="0.25">
      <c r="A20" t="s">
        <v>60</v>
      </c>
      <c r="B20" s="9">
        <f>IF(Assumptions!$B$33=0,Assumptions!$B$10,MIN(Assumptions!$B$15,Assumptions!$B$9)+MAX((K7+MAX(Assumptions!$B$9-Assumptions!$B$15,0))*(1-Assumptions!$B$8),0)*IF(Assumptions!$B$12&lt;=0,0,MIN(Assumptions!$B$12/MAX(Assumptions!$B$14,Assumptions!$B$26),0.9)))</f>
        <v>0.02556569339873365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4" t="s">
        <v>61</v>
      </c>
    </row>
    <row r="3" spans="1:3" x14ac:dyDescent="0.25">
      <c r="A3" s="3" t="s">
        <v>62</v>
      </c>
      <c r="B3" s="4"/>
      <c r="C3" s="4"/>
    </row>
    <row r="4" spans="1:2" x14ac:dyDescent="0.25">
      <c r="A4" t="s">
        <v>63</v>
      </c>
      <c r="B4" s="18">
        <f>Forecast!K13</f>
        <v>3198693224.6311984</v>
      </c>
    </row>
    <row r="5" spans="1:2" x14ac:dyDescent="0.25">
      <c r="A5" t="s">
        <v>64</v>
      </c>
      <c r="B5" s="18">
        <f>IF(Assumptions!$B$33=0,B4,(Forecast!K8+MAX(Forecast!K10-MIN(Assumptions!B15*Forecast!K6,Forecast!K10),0))*(1-Assumptions!B8))</f>
        <v>4585582133.279981</v>
      </c>
    </row>
    <row r="6" spans="1:2" x14ac:dyDescent="0.25">
      <c r="A6" t="s">
        <v>65</v>
      </c>
      <c r="B6" s="9">
        <f>IF(OR(Assumptions!$B$33=0,Assumptions!B12&lt;=0),0,MIN(Assumptions!B12/MAX(Assumptions!B14,Assumptions!B26),0.9))</f>
        <v>0.1955758933443722</v>
      </c>
    </row>
    <row r="7" spans="1:2" x14ac:dyDescent="0.25">
      <c r="A7" t="s">
        <v>66</v>
      </c>
      <c r="B7" s="18">
        <f>-MAX(B5,0)*B6</f>
        <v>-896829322.2202243</v>
      </c>
    </row>
    <row r="8" spans="1:2" x14ac:dyDescent="0.25">
      <c r="A8" t="s">
        <v>67</v>
      </c>
      <c r="B8" s="18">
        <f>IF(OR(Assumptions!$B$33=0,Assumptions!B12&lt;=0),B5,MAX(B5+B7,0))</f>
        <v>3688752811.0597563</v>
      </c>
    </row>
    <row r="9" spans="1:2" x14ac:dyDescent="0.25">
      <c r="A9" t="s">
        <v>68</v>
      </c>
      <c r="B9" s="18">
        <f>B8*(1+Assumptions!B12)/(Assumptions!B26-Assumptions!B12)</f>
        <v>56939544819.5926</v>
      </c>
    </row>
    <row r="10" spans="1:2" x14ac:dyDescent="0.25">
      <c r="A10" t="s">
        <v>69</v>
      </c>
      <c r="B10" s="18">
        <f>B9/(1+Assumptions!B26)^(10-0.5*Assumptions!B32)</f>
        <v>24805851082.387566</v>
      </c>
    </row>
    <row r="11" spans="1:2" x14ac:dyDescent="0.25">
      <c r="A11" t="s">
        <v>70</v>
      </c>
      <c r="B11" s="18">
        <f>Forecast!B17+B10</f>
        <v>46853356940.52455</v>
      </c>
    </row>
    <row r="12" spans="1:2" x14ac:dyDescent="0.25">
      <c r="A12" t="s">
        <v>71</v>
      </c>
      <c r="B12" s="18">
        <f>-Assumptions!B30</f>
        <v>-2079630000</v>
      </c>
    </row>
    <row r="13" spans="1:2" x14ac:dyDescent="0.25">
      <c r="A13" t="s">
        <v>72</v>
      </c>
      <c r="B13" s="18">
        <f>B11+B12</f>
        <v>44773726940.52455</v>
      </c>
    </row>
    <row r="14" spans="1:2" x14ac:dyDescent="0.25">
      <c r="A14" s="19" t="s">
        <v>73</v>
      </c>
      <c r="B14" s="24">
        <f>B13/Assumptions!B31</f>
        <v>173.71259666696884</v>
      </c>
    </row>
    <row r="16" spans="1:3" x14ac:dyDescent="0.25">
      <c r="A16" s="3" t="s">
        <v>74</v>
      </c>
      <c r="B16" s="4"/>
      <c r="C16" s="4"/>
    </row>
    <row r="17" spans="1:2" x14ac:dyDescent="0.25">
      <c r="A17" t="s">
        <v>75</v>
      </c>
      <c r="B17" s="18">
        <f>Forecast!K8+Forecast!K10</f>
        <v>5935059500.670709</v>
      </c>
    </row>
    <row r="18" spans="1:2" x14ac:dyDescent="0.25">
      <c r="A18" t="s">
        <v>68</v>
      </c>
      <c r="B18" s="18">
        <f>B17*Assumptions!B13</f>
        <v>46832268769.263466</v>
      </c>
    </row>
    <row r="19" spans="1:2" x14ac:dyDescent="0.25">
      <c r="A19" t="s">
        <v>69</v>
      </c>
      <c r="B19" s="18">
        <f>B18/(1+Assumptions!B26)^(10-0.5*Assumptions!B32)</f>
        <v>20402591707.07244</v>
      </c>
    </row>
    <row r="20" spans="1:2" x14ac:dyDescent="0.25">
      <c r="A20" t="s">
        <v>70</v>
      </c>
      <c r="B20" s="18">
        <f>Forecast!B17+B19</f>
        <v>42450097565.20943</v>
      </c>
    </row>
    <row r="21" spans="1:2" x14ac:dyDescent="0.25">
      <c r="A21" t="s">
        <v>71</v>
      </c>
      <c r="B21" s="18">
        <f>-Assumptions!B30</f>
        <v>-2079630000</v>
      </c>
    </row>
    <row r="22" spans="1:2" x14ac:dyDescent="0.25">
      <c r="A22" t="s">
        <v>72</v>
      </c>
      <c r="B22" s="18">
        <f>B20+B21</f>
        <v>40370467565.20943</v>
      </c>
    </row>
    <row r="23" spans="1:2" x14ac:dyDescent="0.25">
      <c r="A23" s="19" t="s">
        <v>73</v>
      </c>
      <c r="B23" s="25">
        <f>B22/Assumptions!B31</f>
        <v>156.62888101157506</v>
      </c>
    </row>
    <row r="25" spans="1:3" x14ac:dyDescent="0.25">
      <c r="A25" s="3" t="s">
        <v>76</v>
      </c>
      <c r="B25" s="4"/>
      <c r="C25" s="4"/>
    </row>
    <row r="26" spans="1:2" x14ac:dyDescent="0.25">
      <c r="A26" t="s">
        <v>77</v>
      </c>
      <c r="B26" s="26">
        <v>86.94</v>
      </c>
    </row>
    <row r="27" spans="1:3" x14ac:dyDescent="0.25">
      <c r="A27" t="s">
        <v>78</v>
      </c>
      <c r="B27" s="27">
        <v>1</v>
      </c>
      <c r="C27" s="6" t="s">
        <v>79</v>
      </c>
    </row>
    <row r="28" spans="1:2" x14ac:dyDescent="0.25">
      <c r="A28" t="s">
        <v>80</v>
      </c>
      <c r="B28" s="28">
        <f>B14*B27</f>
        <v>173.71259666696884</v>
      </c>
    </row>
    <row r="29" spans="1:2" x14ac:dyDescent="0.25">
      <c r="A29" s="19" t="s">
        <v>81</v>
      </c>
      <c r="B29" s="11">
        <f>B28/B26-1</f>
        <v>0.9980744958243484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4" t="s">
        <v>82</v>
      </c>
    </row>
    <row r="2" spans="1:1" x14ac:dyDescent="0.25">
      <c r="A2" s="15" t="s">
        <v>83</v>
      </c>
    </row>
    <row r="4" spans="1:6" x14ac:dyDescent="0.25">
      <c r="A4" s="16" t="s">
        <v>29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0.071403</v>
      </c>
      <c r="B5" s="31">
        <v>235.12137141376962</v>
      </c>
      <c r="C5" s="31">
        <v>240.98145122527845</v>
      </c>
      <c r="D5" s="31">
        <v>248.46551016100557</v>
      </c>
      <c r="E5" s="31">
        <v>258.1619038199</v>
      </c>
      <c r="F5" s="31">
        <v>270.9822334668987</v>
      </c>
    </row>
    <row r="6" spans="1:6" x14ac:dyDescent="0.25">
      <c r="A6" s="30">
        <v>0.081403</v>
      </c>
      <c r="B6" s="31">
        <v>198.7255615692161</v>
      </c>
      <c r="C6" s="31">
        <v>201.21447494776697</v>
      </c>
      <c r="D6" s="31">
        <v>204.42569617050978</v>
      </c>
      <c r="E6" s="31">
        <v>208.57000316213552</v>
      </c>
      <c r="F6" s="31">
        <v>213.9490205273731</v>
      </c>
    </row>
    <row r="7" spans="1:6" x14ac:dyDescent="0.25">
      <c r="A7" s="30">
        <v>0.091403</v>
      </c>
      <c r="B7" s="31">
        <v>171.96361408408094</v>
      </c>
      <c r="C7" s="31">
        <v>172.67209878767335</v>
      </c>
      <c r="D7" s="32">
        <v>173.7132848252865</v>
      </c>
      <c r="E7" s="31">
        <v>175.16844705336575</v>
      </c>
      <c r="F7" s="31">
        <v>177.14767966649273</v>
      </c>
    </row>
    <row r="8" spans="1:6" x14ac:dyDescent="0.25">
      <c r="A8" s="30">
        <v>0.101403</v>
      </c>
      <c r="B8" s="31">
        <v>151.48067269289544</v>
      </c>
      <c r="C8" s="31">
        <v>151.2089855379767</v>
      </c>
      <c r="D8" s="31">
        <v>151.08786674206172</v>
      </c>
      <c r="E8" s="31">
        <v>151.14894698432445</v>
      </c>
      <c r="F8" s="31">
        <v>151.43338382651163</v>
      </c>
    </row>
    <row r="9" spans="1:6" x14ac:dyDescent="0.25">
      <c r="A9" s="30">
        <v>0.111403</v>
      </c>
      <c r="B9" s="31">
        <v>135.3148449000037</v>
      </c>
      <c r="C9" s="31">
        <v>134.494753488779</v>
      </c>
      <c r="D9" s="31">
        <v>133.73583439561358</v>
      </c>
      <c r="E9" s="31">
        <v>133.04935974525583</v>
      </c>
      <c r="F9" s="31">
        <v>132.44955236458574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4" t="s">
        <v>84</v>
      </c>
    </row>
    <row r="4" spans="1:6" x14ac:dyDescent="0.25">
      <c r="A4" s="16" t="s">
        <v>85</v>
      </c>
      <c r="B4" s="17" t="s">
        <v>86</v>
      </c>
      <c r="C4" s="17" t="s">
        <v>87</v>
      </c>
      <c r="D4" s="17" t="s">
        <v>88</v>
      </c>
      <c r="E4" s="17" t="s">
        <v>89</v>
      </c>
      <c r="F4" s="33" t="s">
        <v>90</v>
      </c>
    </row>
    <row r="5" spans="1:6" x14ac:dyDescent="0.25">
      <c r="A5" t="s">
        <v>50</v>
      </c>
      <c r="B5" s="18">
        <v>34186934000</v>
      </c>
      <c r="C5" s="18">
        <v>35441452000</v>
      </c>
      <c r="D5" s="18">
        <v>34233366000</v>
      </c>
      <c r="E5" s="18">
        <v>33671010000</v>
      </c>
      <c r="F5" s="6" t="s">
        <v>91</v>
      </c>
    </row>
    <row r="6" spans="1:6" x14ac:dyDescent="0.25">
      <c r="A6" t="s">
        <v>51</v>
      </c>
      <c r="B6" s="18">
        <v>2750407000</v>
      </c>
      <c r="C6" s="18">
        <v>4849973000</v>
      </c>
      <c r="D6" s="18">
        <v>5439646000</v>
      </c>
      <c r="E6" s="18">
        <v>6787646000</v>
      </c>
      <c r="F6" s="6" t="s">
        <v>92</v>
      </c>
    </row>
    <row r="7" spans="1:6" x14ac:dyDescent="0.25">
      <c r="A7" t="s">
        <v>93</v>
      </c>
      <c r="B7" s="18">
        <v>134310000</v>
      </c>
      <c r="C7" s="18">
        <v>115528000</v>
      </c>
      <c r="D7" s="18">
        <v>110164000</v>
      </c>
      <c r="E7" s="18">
        <v>87075000</v>
      </c>
      <c r="F7" s="6" t="s">
        <v>94</v>
      </c>
    </row>
    <row r="8" spans="1:6" x14ac:dyDescent="0.25">
      <c r="A8" t="s">
        <v>95</v>
      </c>
      <c r="B8" s="18">
        <v>188629000</v>
      </c>
      <c r="C8" s="18">
        <v>171503000</v>
      </c>
      <c r="D8" s="18">
        <v>99799000</v>
      </c>
      <c r="E8" s="18">
        <v>57214000</v>
      </c>
      <c r="F8" s="6" t="s">
        <v>96</v>
      </c>
    </row>
    <row r="9" spans="1:6" x14ac:dyDescent="0.25">
      <c r="A9" t="s">
        <v>97</v>
      </c>
      <c r="B9" s="18">
        <v>2386910000</v>
      </c>
      <c r="C9" s="18">
        <v>1997379000</v>
      </c>
      <c r="D9" s="18">
        <v>-571536000</v>
      </c>
      <c r="E9" s="18">
        <v>2321356000</v>
      </c>
      <c r="F9" s="6" t="s">
        <v>98</v>
      </c>
    </row>
    <row r="10" spans="1:6" x14ac:dyDescent="0.25">
      <c r="A10" t="s">
        <v>99</v>
      </c>
      <c r="B10" s="18">
        <v>5874995000</v>
      </c>
      <c r="C10" s="18">
        <v>4189239000</v>
      </c>
      <c r="D10" s="18">
        <v>4984028000</v>
      </c>
      <c r="E10" s="18">
        <v>6199136000</v>
      </c>
      <c r="F10" s="6" t="s">
        <v>100</v>
      </c>
    </row>
    <row r="11" spans="1:6" x14ac:dyDescent="0.25">
      <c r="A11" t="s">
        <v>101</v>
      </c>
      <c r="B11" s="18">
        <v>3795365000</v>
      </c>
      <c r="C11" s="18">
        <v>4950242000</v>
      </c>
      <c r="D11" s="18">
        <v>6512450000</v>
      </c>
      <c r="E11" s="18">
        <v>4814202000</v>
      </c>
      <c r="F11" s="6" t="s">
        <v>102</v>
      </c>
    </row>
    <row r="12" spans="1:6" x14ac:dyDescent="0.25">
      <c r="A12" t="s">
        <v>34</v>
      </c>
      <c r="B12" s="34">
        <v>257746000</v>
      </c>
      <c r="C12" s="34">
        <v>272019000</v>
      </c>
      <c r="D12" s="34">
        <v>283319000</v>
      </c>
      <c r="E12" s="34">
        <v>289824000</v>
      </c>
      <c r="F12" s="6" t="s">
        <v>103</v>
      </c>
    </row>
    <row r="15" spans="1:1" x14ac:dyDescent="0.25">
      <c r="A15" s="19" t="s">
        <v>104</v>
      </c>
    </row>
    <row r="16" ht="86" customHeight="1" spans="1:6" x14ac:dyDescent="0.25">
      <c r="A16" s="35" t="s">
        <v>105</v>
      </c>
      <c r="B16" s="35"/>
      <c r="C16" s="35"/>
      <c r="D16" s="35"/>
      <c r="E16" s="35"/>
      <c r="F16" s="35"/>
    </row>
    <row r="17" ht="54" customHeight="1" spans="1:6" x14ac:dyDescent="0.25">
      <c r="A17" s="35" t="s">
        <v>106</v>
      </c>
      <c r="B17" s="35"/>
      <c r="C17" s="35"/>
      <c r="D17" s="35"/>
      <c r="E17" s="35"/>
      <c r="F17" s="35"/>
    </row>
    <row r="19" spans="1:1" x14ac:dyDescent="0.25">
      <c r="A19" s="36" t="s">
        <v>107</v>
      </c>
    </row>
  </sheetData>
  <mergeCells count="2">
    <mergeCell ref="A16:F16"/>
    <mergeCell ref="A17:F17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1970-01-01T00:00:00Z</dcterms:modified>
</cp:coreProperties>
</file>