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<sst xmlns="http://schemas.openxmlformats.org/spreadsheetml/2006/main" count="119" uniqueCount="106">
  <si>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Labcorp Holdings Inc. (LH)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</si>
  <si>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</si>
  <si>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</si>
  <si>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</si>
  <si>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</si>
  <si>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</si>
  <si>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</si>
  <si>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</si>
  <si>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</si>
  <si>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</si>
  <si>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</si>
  <si>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</si>
  <si>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</si>
  <si>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</si>
  <si>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</si>
  <si>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</si>
  <si>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</si>
  <si>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</si>
  <si>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</si>
  <si>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</si>
  <si>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</si>
  <si>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</si>
  <si>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</si>
  <si>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</si>
  <si>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6.8x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</si>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</sst>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0.061518382706050145</v>
      </c>
    </row>
    <row r="7" spans="1:2" x14ac:dyDescent="0.25">
      <c r="A7" t="s">
        <v>4</v>
      </c>
      <c r="B7" s="5">
        <v>0.10906065497681286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0.04775846528159071</v>
      </c>
    </row>
    <row r="10" spans="1:3" x14ac:dyDescent="0.25">
      <c r="A10" t="s">
        <v>7</v>
      </c>
      <c r="B10" s="5">
        <v>0.03557127962735121</v>
      </c>
      <c r="C10" s="6" t="s">
        <v>8</v>
      </c>
    </row>
    <row r="11" spans="1:2" x14ac:dyDescent="0.25">
      <c r="A11" t="s">
        <v>9</v>
      </c>
      <c r="B11" s="5">
        <v>0.1241693470773734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16.082723502480317</v>
      </c>
    </row>
    <row r="14" spans="1:3" x14ac:dyDescent="0.25">
      <c r="A14" t="s">
        <v>12</v>
      </c>
      <c r="B14" s="5">
        <v>0.07889458569876605</v>
      </c>
      <c r="C14" s="6" t="s">
        <v>13</v>
      </c>
    </row>
    <row r="15" spans="1:3" x14ac:dyDescent="0.25">
      <c r="A15" t="s">
        <v>14</v>
      </c>
      <c r="B15" s="5">
        <v>0.029215836916654553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0.89682</v>
      </c>
      <c r="C19" s="6" t="s">
        <v>21</v>
      </c>
    </row>
    <row r="20" spans="1:2" x14ac:dyDescent="0.25">
      <c r="A20" t="s">
        <v>22</v>
      </c>
      <c r="B20" s="9">
        <f>B17+B19*B18</f>
        <v>0.086875486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29344868352</v>
      </c>
    </row>
    <row r="23" spans="1:2" x14ac:dyDescent="0.25">
      <c r="A23" t="s">
        <v>26</v>
      </c>
      <c r="B23" s="10">
        <v>6526000000</v>
      </c>
    </row>
    <row r="24" spans="1:2" x14ac:dyDescent="0.25">
      <c r="A24" t="s">
        <v>27</v>
      </c>
      <c r="B24" s="9">
        <f>B22/(B22+B23)</f>
        <v>0.8180696397990561</v>
      </c>
    </row>
    <row r="25" spans="1:2" x14ac:dyDescent="0.25">
      <c r="A25" t="s">
        <v>28</v>
      </c>
      <c r="B25" s="9">
        <f>1-B24</f>
        <v>0.18193036020094389</v>
      </c>
    </row>
    <row r="26" spans="1:2" x14ac:dyDescent="0.25">
      <c r="A26" t="s">
        <v>29</v>
      </c>
      <c r="B26" s="11">
        <f>B24*B20+B25*B21*(1-B8)</f>
        <v>0.07889458569876605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13951700000</v>
      </c>
      <c r="C29" s="6" t="s">
        <v>32</v>
      </c>
    </row>
    <row r="30" spans="1:2" x14ac:dyDescent="0.25">
      <c r="A30" t="s">
        <v>33</v>
      </c>
      <c r="B30" s="10">
        <v>5993700000</v>
      </c>
    </row>
    <row r="31" spans="1:2" x14ac:dyDescent="0.25">
      <c r="A31" t="s">
        <v>34</v>
      </c>
      <c r="B31" s="12">
        <v>83800000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0.061518382706050145</v>
      </c>
      <c r="C5" s="5">
        <v>0.052198794715675234</v>
      </c>
      <c r="D5" s="5">
        <v>0.04879894537621583</v>
      </c>
      <c r="E5" s="5">
        <v>0.045399096036756424</v>
      </c>
      <c r="F5" s="5">
        <v>0.04199924669729702</v>
      </c>
      <c r="G5" s="5">
        <v>0.038599397357837614</v>
      </c>
      <c r="H5" s="5">
        <v>0.03519954801837821</v>
      </c>
      <c r="I5" s="5">
        <v>0.03179969867891881</v>
      </c>
      <c r="J5" s="5">
        <v>0.028399849339459406</v>
      </c>
      <c r="K5" s="5">
        <v>0.025</v>
      </c>
    </row>
    <row r="6" spans="1:11" x14ac:dyDescent="0.25">
      <c r="A6" t="s">
        <v>50</v>
      </c>
      <c r="B6" s="18">
        <f>Assumptions!B29*(1+B5)</f>
        <v>14809986020</v>
      </c>
      <c r="C6" s="18">
        <f>B6*(1+C5)</f>
        <v>15583049440</v>
      </c>
      <c r="D6" s="18">
        <f>C6*(1+D5)</f>
        <v>16343485818.41743</v>
      </c>
      <c r="E6" s="18">
        <f>D6*(1+E5)</f>
        <v>17085465300.663132</v>
      </c>
      <c r="F6" s="18">
        <f>E6*(1+F5)</f>
        <v>17803041972.76379</v>
      </c>
      <c r="G6" s="18">
        <f>F6*(1+G5)</f>
        <v>18490228664.04876</v>
      </c>
      <c r="H6" s="18">
        <f>G6*(1+H5)</f>
        <v>19141076355.779736</v>
      </c>
      <c r="I6" s="18">
        <f>H6*(1+I5)</f>
        <v>19749756816.28371</v>
      </c>
      <c r="J6" s="18">
        <f>I6*(1+J5)</f>
        <v>20310646934.357132</v>
      </c>
      <c r="K6" s="18">
        <f>J6*(1+K5)</f>
        <v>20818413107.716057</v>
      </c>
    </row>
    <row r="7" spans="1:11" x14ac:dyDescent="0.25">
      <c r="A7" t="s">
        <v>4</v>
      </c>
      <c r="B7" s="9">
        <f>Assumptions!B7</f>
        <v>0.10906065497681286</v>
      </c>
      <c r="C7" s="9">
        <f>Assumptions!B7</f>
        <v>0.10906065497681286</v>
      </c>
      <c r="D7" s="9">
        <f>Assumptions!B7</f>
        <v>0.10906065497681286</v>
      </c>
      <c r="E7" s="9">
        <f>Assumptions!B7</f>
        <v>0.10906065497681286</v>
      </c>
      <c r="F7" s="9">
        <f>Assumptions!B7</f>
        <v>0.10906065497681286</v>
      </c>
      <c r="G7" s="9">
        <f>Assumptions!B7</f>
        <v>0.10906065497681286</v>
      </c>
      <c r="H7" s="9">
        <f>Assumptions!B7</f>
        <v>0.10906065497681286</v>
      </c>
      <c r="I7" s="9">
        <f>Assumptions!B7</f>
        <v>0.10906065497681286</v>
      </c>
      <c r="J7" s="9">
        <f>Assumptions!B7</f>
        <v>0.10906065497681286</v>
      </c>
      <c r="K7" s="9">
        <f>Assumptions!B7</f>
        <v>0.10906065497681286</v>
      </c>
    </row>
    <row r="8" spans="1:11" x14ac:dyDescent="0.25">
      <c r="A8" t="s">
        <v>51</v>
      </c>
      <c r="B8" s="18">
        <f>B6*B7</f>
        <v>1615186775.538642</v>
      </c>
      <c r="C8" s="18">
        <f>C6*C7</f>
        <v>1699497578.462457</v>
      </c>
      <c r="D8" s="18">
        <f>D6*D7</f>
        <v>1782431267.9608574</v>
      </c>
      <c r="E8" s="18">
        <f>E6*E7</f>
        <v>1863352036.27393</v>
      </c>
      <c r="F8" s="18">
        <f>F6*F7</f>
        <v>1941611418.1293094</v>
      </c>
      <c r="G8" s="18">
        <f>G6*G7</f>
        <v>2016556448.7721972</v>
      </c>
      <c r="H8" s="18">
        <f>H6*H7</f>
        <v>2087538324.322524</v>
      </c>
      <c r="I8" s="18">
        <f>I6*I7</f>
        <v>2153921414.016676</v>
      </c>
      <c r="J8" s="18">
        <f>J6*J7</f>
        <v>2215092457.663785</v>
      </c>
      <c r="K8" s="18">
        <f>K6*K7</f>
        <v>2270469769.105379</v>
      </c>
    </row>
    <row r="9" spans="1:11" x14ac:dyDescent="0.25">
      <c r="A9" t="s">
        <v>52</v>
      </c>
      <c r="B9" s="18">
        <f>B8*(1-Assumptions!B8)</f>
        <v>1275997552.675527</v>
      </c>
      <c r="C9" s="18">
        <f>C8*(1-Assumptions!B8)</f>
        <v>1342603086.985341</v>
      </c>
      <c r="D9" s="18">
        <f>D8*(1-Assumptions!B8)</f>
        <v>1408120701.6890774</v>
      </c>
      <c r="E9" s="18">
        <f>E8*(1-Assumptions!B8)</f>
        <v>1472048108.6564047</v>
      </c>
      <c r="F9" s="18">
        <f>F8*(1-Assumptions!B8)</f>
        <v>1533873020.3221545</v>
      </c>
      <c r="G9" s="18">
        <f>G8*(1-Assumptions!B8)</f>
        <v>1593079594.530036</v>
      </c>
      <c r="H9" s="18">
        <f>H8*(1-Assumptions!B8)</f>
        <v>1649155276.2147942</v>
      </c>
      <c r="I9" s="18">
        <f>I8*(1-Assumptions!B8)</f>
        <v>1701597917.073174</v>
      </c>
      <c r="J9" s="18">
        <f>J8*(1-Assumptions!B8)</f>
        <v>1749923041.5543902</v>
      </c>
      <c r="K9" s="18">
        <f>K8*(1-Assumptions!B8)</f>
        <v>1793671117.5932496</v>
      </c>
    </row>
    <row r="10" spans="1:11" x14ac:dyDescent="0.25">
      <c r="A10" t="s">
        <v>53</v>
      </c>
      <c r="B10" s="18">
        <f>B6*Assumptions!B9</f>
        <v>707302203.1570138</v>
      </c>
      <c r="C10" s="18">
        <f>C6*Assumptions!B9</f>
        <v>744222525.6615516</v>
      </c>
      <c r="D10" s="18">
        <f>D6*Assumptions!B9</f>
        <v>780539800.039059</v>
      </c>
      <c r="E10" s="18">
        <f>E6*Assumptions!B9</f>
        <v>815975601.3815429</v>
      </c>
      <c r="F10" s="18">
        <f>F6*Assumptions!B9</f>
        <v>850245961.9629416</v>
      </c>
      <c r="G10" s="18">
        <f>G6*Assumptions!B9</f>
        <v>883064943.700646</v>
      </c>
      <c r="H10" s="18">
        <f>H6*Assumptions!B9</f>
        <v>914148430.5897833</v>
      </c>
      <c r="I10" s="18">
        <f>I6*Assumptions!B9</f>
        <v>943218075.230345</v>
      </c>
      <c r="J10" s="18">
        <f>J6*Assumptions!B9</f>
        <v>970005326.4611418</v>
      </c>
      <c r="K10" s="18">
        <f>K6*Assumptions!B9</f>
        <v>994255459.6226703</v>
      </c>
    </row>
    <row r="11" spans="1:11" x14ac:dyDescent="0.25">
      <c r="A11" t="s">
        <v>54</v>
      </c>
      <c r="B11" s="18">
        <f>-B6*B19</f>
        <v>-526810153.99458224</v>
      </c>
      <c r="C11" s="18">
        <f>-C6*C19</f>
        <v>-598613353.7619822</v>
      </c>
      <c r="D11" s="18">
        <f>-D6*D19</f>
        <v>-674291404.0947978</v>
      </c>
      <c r="E11" s="18">
        <f>-E6*E19</f>
        <v>-753479504.5724381</v>
      </c>
      <c r="F11" s="18">
        <f>-F6*F19</f>
        <v>-835741106.8115605</v>
      </c>
      <c r="G11" s="18">
        <f>-G6*G19</f>
        <v>-920569988.8064377</v>
      </c>
      <c r="H11" s="18">
        <f>-H6*H19</f>
        <v>-1007393847.714065</v>
      </c>
      <c r="I11" s="18">
        <f>-I6*I19</f>
        <v>-1095579426.2287283</v>
      </c>
      <c r="J11" s="18">
        <f>-J6*J19</f>
        <v>-1184439147.6385522</v>
      </c>
      <c r="K11" s="18">
        <f>-K6*K19</f>
        <v>-1273239192.8641698</v>
      </c>
    </row>
    <row r="12" spans="1:11" x14ac:dyDescent="0.25">
      <c r="A12" t="s">
        <v>55</v>
      </c>
      <c r="B12" s="18">
        <f>-(B6-Assumptions!B29)*Assumptions!B11</f>
        <v>-106572814.70903745</v>
      </c>
      <c r="C12" s="18">
        <f>-(C6-B6)*Assumptions!B11</f>
        <v>-95990780.11080128</v>
      </c>
      <c r="D12" s="18">
        <f>-(D6-C6)*Assumptions!B11</f>
        <v>-94422888.60197483</v>
      </c>
      <c r="E12" s="18">
        <f>-(E6-D6)*Assumptions!B11</f>
        <v>-92131107.85525624</v>
      </c>
      <c r="F12" s="18">
        <f>-(F6-E6)*Assumptions!B11</f>
        <v>-89101026.85269322</v>
      </c>
      <c r="G12" s="18">
        <f>-(G6-F6)*Assumptions!B11</f>
        <v>-85327522.7771152</v>
      </c>
      <c r="H12" s="18">
        <f>-(H6-G6)*Assumptions!B11</f>
        <v>-80815332.92905091</v>
      </c>
      <c r="I12" s="18">
        <f>-(I6-H6)*Assumptions!B11</f>
        <v>-75579455.35953353</v>
      </c>
      <c r="J12" s="18">
        <f>-(J6-I6)*Assumptions!B11</f>
        <v>-69645359.74332762</v>
      </c>
      <c r="K12" s="18">
        <f>-(K6-J6)*Assumptions!B11</f>
        <v>-63048994.21395409</v>
      </c>
    </row>
    <row r="13" spans="1:11" x14ac:dyDescent="0.25">
      <c r="A13" s="19" t="s">
        <v>56</v>
      </c>
      <c r="B13" s="20">
        <f>B9+B10+B11+B12</f>
        <v>1349916787.1289213</v>
      </c>
      <c r="C13" s="20">
        <f>C9+C10+C11+C12</f>
        <v>1392221478.7741091</v>
      </c>
      <c r="D13" s="20">
        <f>D9+D10+D11+D12</f>
        <v>1419946209.031364</v>
      </c>
      <c r="E13" s="20">
        <f>E9+E10+E11+E12</f>
        <v>1442413097.610253</v>
      </c>
      <c r="F13" s="20">
        <f>F9+F10+F11+F12</f>
        <v>1459276848.6208422</v>
      </c>
      <c r="G13" s="20">
        <f>G9+G10+G11+G12</f>
        <v>1470247026.647129</v>
      </c>
      <c r="H13" s="20">
        <f>H9+H10+H11+H12</f>
        <v>1475094526.1614614</v>
      </c>
      <c r="I13" s="20">
        <f>I9+I10+I11+I12</f>
        <v>1473657110.7152574</v>
      </c>
      <c r="J13" s="20">
        <f>J9+J10+J11+J12</f>
        <v>1465843860.6336522</v>
      </c>
      <c r="K13" s="20">
        <f>K9+K10+K11+K12</f>
        <v>1451638390.137796</v>
      </c>
    </row>
    <row r="14" spans="1:11" x14ac:dyDescent="0.25">
      <c r="A14" t="s">
        <v>57</v>
      </c>
      <c r="B14" s="21">
        <f>1/(1+Assumptions!$B$26)^(1-0.5*Assumptions!$B$32)</f>
        <v>0.9627432739462456</v>
      </c>
      <c r="C14" s="21">
        <f>1/(1+Assumptions!$B$26)^(2-0.5*Assumptions!$B$32)</f>
        <v>0.8923422980408295</v>
      </c>
      <c r="D14" s="21">
        <f>1/(1+Assumptions!$B$26)^(3-0.5*Assumptions!$B$32)</f>
        <v>0.8270894208472533</v>
      </c>
      <c r="E14" s="21">
        <f>1/(1+Assumptions!$B$26)^(4-0.5*Assumptions!$B$32)</f>
        <v>0.766608185647325</v>
      </c>
      <c r="F14" s="21">
        <f>1/(1+Assumptions!$B$26)^(5-0.5*Assumptions!$B$32)</f>
        <v>0.7105496642666133</v>
      </c>
      <c r="G14" s="21">
        <f>1/(1+Assumptions!$B$26)^(6-0.5*Assumptions!$B$32)</f>
        <v>0.6585904440389908</v>
      </c>
      <c r="H14" s="21">
        <f>1/(1+Assumptions!$B$26)^(7-0.5*Assumptions!$B$32)</f>
        <v>0.6104307619751772</v>
      </c>
      <c r="I14" s="21">
        <f>1/(1+Assumptions!$B$26)^(8-0.5*Assumptions!$B$32)</f>
        <v>0.5657927753709325</v>
      </c>
      <c r="J14" s="21">
        <f>1/(1+Assumptions!$B$26)^(9-0.5*Assumptions!$B$32)</f>
        <v>0.5244189588776983</v>
      </c>
      <c r="K14" s="21">
        <f>1/(1+Assumptions!$B$26)^(10-0.5*Assumptions!$B$32)</f>
        <v>0.4860706187880707</v>
      </c>
    </row>
    <row r="15" spans="1:11" x14ac:dyDescent="0.25">
      <c r="A15" s="19" t="s">
        <v>58</v>
      </c>
      <c r="B15" s="20">
        <f>B13*B14</f>
        <v>1299623307.1954947</v>
      </c>
      <c r="C15" s="20">
        <f>C13*C14</f>
        <v>1242338113.7510905</v>
      </c>
      <c r="D15" s="20">
        <f>D13*D14</f>
        <v>1174422487.6620038</v>
      </c>
      <c r="E15" s="20">
        <f>E13*E14</f>
        <v>1105765687.712934</v>
      </c>
      <c r="F15" s="20">
        <f>F13*F14</f>
        <v>1036888674.8595809</v>
      </c>
      <c r="G15" s="20">
        <f>G13*G14</f>
        <v>968290642.1265386</v>
      </c>
      <c r="H15" s="20">
        <f>H13*H14</f>
        <v>900443075.5901538</v>
      </c>
      <c r="I15" s="20">
        <f>I13*I14</f>
        <v>833784546.616695</v>
      </c>
      <c r="J15" s="20">
        <f>J13*J14</f>
        <v>768716311.2707658</v>
      </c>
      <c r="K15" s="20">
        <f>K13*K14</f>
        <v>705598770.5507972</v>
      </c>
    </row>
    <row r="17" spans="1:2" x14ac:dyDescent="0.25">
      <c r="A17" s="22" t="s">
        <v>59</v>
      </c>
      <c r="B17" s="23">
        <f>SUM(B15:K15)</f>
        <v>10035871617.336054</v>
      </c>
    </row>
    <row r="19" spans="1:11" x14ac:dyDescent="0.25">
      <c r="A19" t="s">
        <v>7</v>
      </c>
      <c r="B19" s="9">
        <f>Assumptions!$B$10+($B$20-Assumptions!$B$10)*0/9</f>
        <v>0.03557127962735121</v>
      </c>
      <c r="C19" s="9">
        <f>Assumptions!$B$10+($B$20-Assumptions!$B$10)*1/9</f>
        <v>0.038414390974426775</v>
      </c>
      <c r="D19" s="9">
        <f>Assumptions!$B$10+($B$20-Assumptions!$B$10)*2/9</f>
        <v>0.04125750232150235</v>
      </c>
      <c r="E19" s="9">
        <f>Assumptions!$B$10+($B$20-Assumptions!$B$10)*3/9</f>
        <v>0.04410061366857791</v>
      </c>
      <c r="F19" s="9">
        <f>Assumptions!$B$10+($B$20-Assumptions!$B$10)*4/9</f>
        <v>0.046943725015653484</v>
      </c>
      <c r="G19" s="9">
        <f>Assumptions!$B$10+($B$20-Assumptions!$B$10)*5/9</f>
        <v>0.04978683636272905</v>
      </c>
      <c r="H19" s="9">
        <f>Assumptions!$B$10+($B$20-Assumptions!$B$10)*6/9</f>
        <v>0.052629947709804614</v>
      </c>
      <c r="I19" s="9">
        <f>Assumptions!$B$10+($B$20-Assumptions!$B$10)*7/9</f>
        <v>0.055473059056880186</v>
      </c>
      <c r="J19" s="9">
        <f>Assumptions!$B$10+($B$20-Assumptions!$B$10)*8/9</f>
        <v>0.05831617040395576</v>
      </c>
      <c r="K19" s="9">
        <f>Assumptions!$B$10+($B$20-Assumptions!$B$10)*9/9</f>
        <v>0.06115928175103132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0.06115928175103132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1451638390.137796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2098633314.5424843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0.3168785256754446</v>
      </c>
    </row>
    <row r="7" spans="1:2" x14ac:dyDescent="0.25">
      <c r="A7" t="s">
        <v>66</v>
      </c>
      <c r="B7" s="18">
        <f>-MAX(B5,0)*B6</f>
        <v>-665011830.645594</v>
      </c>
    </row>
    <row r="8" spans="1:2" x14ac:dyDescent="0.25">
      <c r="A8" t="s">
        <v>67</v>
      </c>
      <c r="B8" s="18">
        <f>IF(OR(Assumptions!$B$33=0,Assumptions!B12&lt;=0),B5,MAX(B5+B7,0))</f>
        <v>1433621483.8968902</v>
      </c>
    </row>
    <row r="9" spans="1:2" x14ac:dyDescent="0.25">
      <c r="A9" t="s">
        <v>68</v>
      </c>
      <c r="B9" s="18">
        <f>B8*(1+Assumptions!B12)/(Assumptions!B26-Assumptions!B12)</f>
        <v>27265485056.46935</v>
      </c>
    </row>
    <row r="10" spans="1:2" x14ac:dyDescent="0.25">
      <c r="A10" t="s">
        <v>69</v>
      </c>
      <c r="B10" s="18">
        <f>B9/(1+Assumptions!B26)^(10-0.5*Assumptions!B32)</f>
        <v>13252951192.95495</v>
      </c>
    </row>
    <row r="11" spans="1:2" x14ac:dyDescent="0.25">
      <c r="A11" t="s">
        <v>70</v>
      </c>
      <c r="B11" s="18">
        <f>Forecast!B17+B10</f>
        <v>23288822810.291004</v>
      </c>
    </row>
    <row r="12" spans="1:2" x14ac:dyDescent="0.25">
      <c r="A12" t="s">
        <v>71</v>
      </c>
      <c r="B12" s="18">
        <f>-Assumptions!B30</f>
        <v>-5993700000</v>
      </c>
    </row>
    <row r="13" spans="1:2" x14ac:dyDescent="0.25">
      <c r="A13" t="s">
        <v>72</v>
      </c>
      <c r="B13" s="18">
        <f>B11+B12</f>
        <v>17295122810.291004</v>
      </c>
    </row>
    <row r="14" spans="1:2" x14ac:dyDescent="0.25">
      <c r="A14" s="19" t="s">
        <v>73</v>
      </c>
      <c r="B14" s="24">
        <f>B13/Assumptions!B31</f>
        <v>206.38571372662295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3264725228.7280493</v>
      </c>
    </row>
    <row r="18" spans="1:2" x14ac:dyDescent="0.25">
      <c r="A18" t="s">
        <v>68</v>
      </c>
      <c r="B18" s="18">
        <f>B17*Assumptions!B13</f>
        <v>52505673165.205025</v>
      </c>
    </row>
    <row r="19" spans="1:2" x14ac:dyDescent="0.25">
      <c r="A19" t="s">
        <v>69</v>
      </c>
      <c r="B19" s="18">
        <f>B18/(1+Assumptions!B26)^(10-0.5*Assumptions!B32)</f>
        <v>25521465045.295403</v>
      </c>
    </row>
    <row r="20" spans="1:2" x14ac:dyDescent="0.25">
      <c r="A20" t="s">
        <v>70</v>
      </c>
      <c r="B20" s="18">
        <f>Forecast!B17+B19</f>
        <v>35557336662.631454</v>
      </c>
    </row>
    <row r="21" spans="1:2" x14ac:dyDescent="0.25">
      <c r="A21" t="s">
        <v>71</v>
      </c>
      <c r="B21" s="18">
        <f>-Assumptions!B30</f>
        <v>-5993700000</v>
      </c>
    </row>
    <row r="22" spans="1:2" x14ac:dyDescent="0.25">
      <c r="A22" t="s">
        <v>72</v>
      </c>
      <c r="B22" s="18">
        <f>B20+B21</f>
        <v>29563636662.631454</v>
      </c>
    </row>
    <row r="23" spans="1:2" x14ac:dyDescent="0.25">
      <c r="A23" s="19" t="s">
        <v>73</v>
      </c>
      <c r="B23" s="25">
        <f>B22/Assumptions!B31</f>
        <v>352.78802700037534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361.39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206.38571372662295</v>
      </c>
    </row>
    <row r="29" spans="1:2" x14ac:dyDescent="0.25">
      <c r="A29" s="19" t="s">
        <v>81</v>
      </c>
      <c r="B29" s="11">
        <f>B28/B26-1</f>
        <v>-0.42891138734712375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0.058895</v>
      </c>
      <c r="B5" s="31">
        <v>338.55737228942417</v>
      </c>
      <c r="C5" s="31">
        <v>344.7704644912632</v>
      </c>
      <c r="D5" s="31">
        <v>354.0440457674064</v>
      </c>
      <c r="E5" s="31">
        <v>367.9668801294326</v>
      </c>
      <c r="F5" s="31">
        <v>389.4575194203317</v>
      </c>
    </row>
    <row r="6" spans="1:6" x14ac:dyDescent="0.25">
      <c r="A6" s="30">
        <v>0.068895</v>
      </c>
      <c r="B6" s="31">
        <v>263.5526435541882</v>
      </c>
      <c r="C6" s="31">
        <v>262.3014564211173</v>
      </c>
      <c r="D6" s="31">
        <v>261.660525421299</v>
      </c>
      <c r="E6" s="31">
        <v>261.8651980800911</v>
      </c>
      <c r="F6" s="31">
        <v>263.28969050249884</v>
      </c>
    </row>
    <row r="7" spans="1:6" x14ac:dyDescent="0.25">
      <c r="A7" s="30">
        <v>0.078895</v>
      </c>
      <c r="B7" s="31">
        <v>213.5887135822971</v>
      </c>
      <c r="C7" s="31">
        <v>209.98646504814076</v>
      </c>
      <c r="D7" s="32">
        <v>206.3842165139845</v>
      </c>
      <c r="E7" s="31">
        <v>202.7819679798283</v>
      </c>
      <c r="F7" s="31">
        <v>199.17971944567196</v>
      </c>
    </row>
    <row r="8" spans="1:6" x14ac:dyDescent="0.25">
      <c r="A8" s="30">
        <v>0.088895</v>
      </c>
      <c r="B8" s="31">
        <v>180.4024608901608</v>
      </c>
      <c r="C8" s="31">
        <v>177.37732184853667</v>
      </c>
      <c r="D8" s="31">
        <v>174.35218280691248</v>
      </c>
      <c r="E8" s="31">
        <v>171.32704376528838</v>
      </c>
      <c r="F8" s="31">
        <v>168.30190472366414</v>
      </c>
    </row>
    <row r="9" spans="1:6" x14ac:dyDescent="0.25">
      <c r="A9" s="30">
        <v>0.098895</v>
      </c>
      <c r="B9" s="31">
        <v>154.01860734429408</v>
      </c>
      <c r="C9" s="31">
        <v>151.44338064240375</v>
      </c>
      <c r="D9" s="31">
        <v>148.86815394051345</v>
      </c>
      <c r="E9" s="31">
        <v>146.29292723862312</v>
      </c>
      <c r="F9" s="31">
        <v>143.71770053673282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13951700000</v>
      </c>
      <c r="C5" s="18">
        <v>13008900000</v>
      </c>
      <c r="D5" s="18">
        <v>12161600000</v>
      </c>
      <c r="E5" s="18">
        <v>11863900000</v>
      </c>
      <c r="F5" s="6" t="s">
        <v>91</v>
      </c>
    </row>
    <row r="6" spans="1:6" x14ac:dyDescent="0.25">
      <c r="A6" t="s">
        <v>51</v>
      </c>
      <c r="B6" s="18">
        <v>1516200000</v>
      </c>
      <c r="C6" s="18">
        <v>1138000000</v>
      </c>
      <c r="D6" s="18">
        <v>1123700000</v>
      </c>
      <c r="E6" s="18">
        <v>1752200000</v>
      </c>
      <c r="F6" s="6" t="s">
        <v>92</v>
      </c>
    </row>
    <row r="7" spans="1:6" x14ac:dyDescent="0.25">
      <c r="A7" t="s">
        <v>93</v>
      </c>
      <c r="B7" s="18">
        <v>681100000</v>
      </c>
      <c r="C7" s="18">
        <v>643500000</v>
      </c>
      <c r="D7" s="18">
        <v>577300000</v>
      </c>
      <c r="E7" s="18">
        <v>537200000</v>
      </c>
      <c r="F7" s="6" t="s">
        <v>94</v>
      </c>
    </row>
    <row r="8" spans="1:6" x14ac:dyDescent="0.25">
      <c r="A8" t="s">
        <v>95</v>
      </c>
      <c r="B8" s="18">
        <v>434500000</v>
      </c>
      <c r="C8" s="18">
        <v>489900000</v>
      </c>
      <c r="D8" s="18">
        <v>453600000</v>
      </c>
      <c r="E8" s="18">
        <v>429300000</v>
      </c>
      <c r="F8" s="6" t="s">
        <v>96</v>
      </c>
    </row>
    <row r="9" spans="1:6" x14ac:dyDescent="0.25">
      <c r="A9" t="s">
        <v>97</v>
      </c>
      <c r="B9" s="18">
        <v>526100000</v>
      </c>
      <c r="C9" s="18">
        <v>154100000</v>
      </c>
      <c r="D9" s="18">
        <v>361900000</v>
      </c>
      <c r="E9" s="18">
        <v>376200000</v>
      </c>
      <c r="F9" s="6" t="s">
        <v>98</v>
      </c>
    </row>
    <row r="10" spans="1:6" x14ac:dyDescent="0.25">
      <c r="A10" t="s">
        <v>99</v>
      </c>
      <c r="B10" s="18">
        <v>6526000000</v>
      </c>
      <c r="C10" s="18">
        <v>7272800000</v>
      </c>
      <c r="D10" s="18">
        <v>5954200000</v>
      </c>
      <c r="E10" s="18">
        <v>6246400000</v>
      </c>
      <c r="F10" s="6" t="s">
        <v>100</v>
      </c>
    </row>
    <row r="11" spans="1:6" x14ac:dyDescent="0.25">
      <c r="A11" t="s">
        <v>101</v>
      </c>
      <c r="B11" s="18">
        <v>532300000</v>
      </c>
      <c r="C11" s="18">
        <v>1518700000</v>
      </c>
      <c r="D11" s="18">
        <v>536800000</v>
      </c>
      <c r="E11" s="18">
        <v>320600000</v>
      </c>
      <c r="F11" s="6" t="s">
        <v>102</v>
      </c>
    </row>
    <row r="12" spans="1:6" x14ac:dyDescent="0.25">
      <c r="A12" t="s">
        <v>34</v>
      </c>
      <c r="B12" s="34">
        <v>83800000</v>
      </c>
      <c r="C12" s="34">
        <v>84400000</v>
      </c>
      <c r="D12" s="34">
        <v>87600000</v>
      </c>
      <c r="E12" s="34">
        <v>91600000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