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<sst xmlns="http://schemas.openxmlformats.org/spreadsheetml/2006/main" count="111" uniqueCount="99">
  <si>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L3Harris Technologies, Inc. (LHX)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</si>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</sst>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0.08619178709998354</v>
      </c>
    </row>
    <row r="7" spans="1:2" x14ac:dyDescent="0.25">
      <c r="A7" t="s">
        <v>5</v>
      </c>
      <c r="B7" s="6">
        <v>0.09964292058892488</v>
      </c>
    </row>
    <row r="8" spans="1:2" x14ac:dyDescent="0.25">
      <c r="A8" t="s">
        <v>6</v>
      </c>
      <c r="B8" s="6">
        <v>0.10988026941717606</v>
      </c>
    </row>
    <row r="9" spans="1:2" x14ac:dyDescent="0.25">
      <c r="A9" t="s">
        <v>7</v>
      </c>
      <c r="B9" s="6">
        <v>0.05786140488711299</v>
      </c>
    </row>
    <row r="10" spans="1:2" x14ac:dyDescent="0.25">
      <c r="A10" t="s">
        <v>8</v>
      </c>
      <c r="B10" s="6">
        <v>0.01910388602003767</v>
      </c>
    </row>
    <row r="11" spans="1:2" x14ac:dyDescent="0.25">
      <c r="A11" t="s">
        <v>9</v>
      </c>
      <c r="B11" s="6">
        <v>0.06448875689435724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16.625967326615292</v>
      </c>
    </row>
    <row r="14" spans="1:3" x14ac:dyDescent="0.25">
      <c r="A14" t="s">
        <v>12</v>
      </c>
      <c r="B14" s="6">
        <v>0.07875216193427705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0.66902</v>
      </c>
      <c r="C19" s="8" t="s">
        <v>19</v>
      </c>
    </row>
    <row r="20" spans="1:2" x14ac:dyDescent="0.25">
      <c r="A20" t="s">
        <v>20</v>
      </c>
      <c r="B20" s="10">
        <f>B17+B19*B18</f>
        <v>0.0867761</v>
      </c>
    </row>
    <row r="21" spans="1:3" x14ac:dyDescent="0.25">
      <c r="A21" t="s">
        <v>21</v>
      </c>
      <c r="B21" s="6">
        <v>0.051130524152106886</v>
      </c>
      <c r="C21" s="8" t="s">
        <v>22</v>
      </c>
    </row>
    <row r="22" spans="1:2" x14ac:dyDescent="0.25">
      <c r="A22" t="s">
        <v>23</v>
      </c>
      <c r="B22" s="11">
        <v>46049013760</v>
      </c>
    </row>
    <row r="23" spans="1:2" x14ac:dyDescent="0.25">
      <c r="A23" t="s">
        <v>24</v>
      </c>
      <c r="B23" s="11">
        <v>11116000000</v>
      </c>
    </row>
    <row r="24" spans="1:2" x14ac:dyDescent="0.25">
      <c r="A24" t="s">
        <v>25</v>
      </c>
      <c r="B24" s="10">
        <f>B22/(B22+B23)</f>
        <v>0.8055453979829498</v>
      </c>
    </row>
    <row r="25" spans="1:2" x14ac:dyDescent="0.25">
      <c r="A25" t="s">
        <v>26</v>
      </c>
      <c r="B25" s="10">
        <f>1-B24</f>
        <v>0.19445460201705023</v>
      </c>
    </row>
    <row r="26" spans="1:2" x14ac:dyDescent="0.25">
      <c r="A26" t="s">
        <v>27</v>
      </c>
      <c r="B26" s="12">
        <f>B24*B20+B25*B21*(1-B8)</f>
        <v>0.07875216193427705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21865000000</v>
      </c>
      <c r="C29" s="8" t="s">
        <v>30</v>
      </c>
    </row>
    <row r="30" spans="1:2" x14ac:dyDescent="0.25">
      <c r="A30" t="s">
        <v>31</v>
      </c>
      <c r="B30" s="11">
        <v>10047000000</v>
      </c>
    </row>
    <row r="31" spans="1:2" x14ac:dyDescent="0.25">
      <c r="A31" t="s">
        <v>32</v>
      </c>
      <c r="B31" s="13">
        <v>188400000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0.08619178709998354</v>
      </c>
      <c r="C5" s="10">
        <f>Assumptions!B6</f>
        <v>0.08619178709998354</v>
      </c>
      <c r="D5" s="10">
        <f>Assumptions!B6</f>
        <v>0.08619178709998354</v>
      </c>
      <c r="E5" s="10">
        <f>Assumptions!B6</f>
        <v>0.08619178709998354</v>
      </c>
      <c r="F5" s="10">
        <f>Assumptions!B6</f>
        <v>0.08619178709998354</v>
      </c>
    </row>
    <row r="6" spans="1:6" x14ac:dyDescent="0.25">
      <c r="A6" t="s">
        <v>43</v>
      </c>
      <c r="B6" s="18">
        <f>Assumptions!B29*(1+B5)</f>
        <v>23749583424.94114</v>
      </c>
      <c r="C6" s="18">
        <f>B6*(1+C5)</f>
        <v>25796602463.216965</v>
      </c>
      <c r="D6" s="18">
        <f>C6*(1+D5)</f>
        <v>28020057730.62947</v>
      </c>
      <c r="E6" s="18">
        <f>D6*(1+E5)</f>
        <v>30435156581.077133</v>
      </c>
      <c r="F6" s="18">
        <f>E6*(1+F5)</f>
        <v>33058417117.467995</v>
      </c>
    </row>
    <row r="7" spans="1:6" x14ac:dyDescent="0.25">
      <c r="A7" t="s">
        <v>5</v>
      </c>
      <c r="B7" s="10">
        <f>Assumptions!B7</f>
        <v>0.09964292058892488</v>
      </c>
      <c r="C7" s="10">
        <f>Assumptions!B7</f>
        <v>0.09964292058892488</v>
      </c>
      <c r="D7" s="10">
        <f>Assumptions!B7</f>
        <v>0.09964292058892488</v>
      </c>
      <c r="E7" s="10">
        <f>Assumptions!B7</f>
        <v>0.09964292058892488</v>
      </c>
      <c r="F7" s="10">
        <f>Assumptions!B7</f>
        <v>0.09964292058892488</v>
      </c>
    </row>
    <row r="8" spans="1:6" x14ac:dyDescent="0.25">
      <c r="A8" t="s">
        <v>44</v>
      </c>
      <c r="B8" s="18">
        <f>B6*B7</f>
        <v>2366477855.2314563</v>
      </c>
      <c r="C8" s="18">
        <f>C6*C7</f>
        <v>2570448810.706392</v>
      </c>
      <c r="D8" s="18">
        <f>D6*D7</f>
        <v>2792000387.350203</v>
      </c>
      <c r="E8" s="18">
        <f>E6*E7</f>
        <v>3032647890.319763</v>
      </c>
      <c r="F8" s="18">
        <f>F6*F7</f>
        <v>3294037231.631418</v>
      </c>
    </row>
    <row r="9" spans="1:6" x14ac:dyDescent="0.25">
      <c r="A9" t="s">
        <v>45</v>
      </c>
      <c r="B9" s="18">
        <f>B8*(1-Assumptions!B8)</f>
        <v>2106448630.9288428</v>
      </c>
      <c r="C9" s="18">
        <f>C8*(1-Assumptions!B8)</f>
        <v>2288007202.8629136</v>
      </c>
      <c r="D9" s="18">
        <f>D8*(1-Assumptions!B8)</f>
        <v>2485214632.5753026</v>
      </c>
      <c r="E9" s="18">
        <f>E8*(1-Assumptions!B8)</f>
        <v>2699419723.083997</v>
      </c>
      <c r="F9" s="18">
        <f>F8*(1-Assumptions!B8)</f>
        <v>2932087533.149549</v>
      </c>
    </row>
    <row r="10" spans="1:6" x14ac:dyDescent="0.25">
      <c r="A10" t="s">
        <v>46</v>
      </c>
      <c r="B10" s="18">
        <f>B6*Assumptions!B9</f>
        <v>1374184262.450787</v>
      </c>
      <c r="C10" s="18">
        <f>C6*Assumptions!B9</f>
        <v>1492627659.8360932</v>
      </c>
      <c r="D10" s="18">
        <f>D6*Assumptions!B9</f>
        <v>1621279905.3122323</v>
      </c>
      <c r="E10" s="18">
        <f>E6*Assumptions!B9</f>
        <v>1761020917.7403855</v>
      </c>
      <c r="F10" s="18">
        <f>F6*Assumptions!B9</f>
        <v>1912806457.7608824</v>
      </c>
    </row>
    <row r="11" spans="1:6" x14ac:dyDescent="0.25">
      <c r="A11" t="s">
        <v>47</v>
      </c>
      <c r="B11" s="18">
        <f>-B6*Assumptions!B10</f>
        <v>-453709334.7734514</v>
      </c>
      <c r="C11" s="18">
        <f>-C6*Assumptions!B10</f>
        <v>-492815353.1615199</v>
      </c>
      <c r="D11" s="18">
        <f>-D6*Assumptions!B10</f>
        <v>-535291989.1608208</v>
      </c>
      <c r="E11" s="18">
        <f>-E6*Assumptions!B10</f>
        <v>-581429762.3268969</v>
      </c>
      <c r="F11" s="18">
        <f>-F6*Assumptions!B10</f>
        <v>-631544232.6149708</v>
      </c>
    </row>
    <row r="12" spans="1:6" x14ac:dyDescent="0.25">
      <c r="A12" t="s">
        <v>48</v>
      </c>
      <c r="B12" s="18">
        <f>-(B6-Assumptions!B29)*Assumptions!B11</f>
        <v>-121534442.33816427</v>
      </c>
      <c r="C12" s="18">
        <f>-(C6-B6)*Assumptions!B11</f>
        <v>-132009713.11749066</v>
      </c>
      <c r="D12" s="18">
        <f>-(D6-C6)*Assumptions!B11</f>
        <v>-143387866.20564318</v>
      </c>
      <c r="E12" s="18">
        <f>-(E6-D6)*Assumptions!B11</f>
        <v>-155746722.64236093</v>
      </c>
      <c r="F12" s="18">
        <f>-(F6-E6)*Assumptions!B11</f>
        <v>-169170811.00187144</v>
      </c>
    </row>
    <row r="13" spans="1:6" x14ac:dyDescent="0.25">
      <c r="A13" s="19" t="s">
        <v>49</v>
      </c>
      <c r="B13" s="20">
        <f>B9+B10+B11+B12</f>
        <v>2905389116.2680144</v>
      </c>
      <c r="C13" s="20">
        <f>C9+C10+C11+C12</f>
        <v>3155809796.4199963</v>
      </c>
      <c r="D13" s="20">
        <f>D9+D10+D11+D12</f>
        <v>3427814682.521071</v>
      </c>
      <c r="E13" s="20">
        <f>E9+E10+E11+E12</f>
        <v>3723264155.8551254</v>
      </c>
      <c r="F13" s="20">
        <f>F9+F10+F11+F12</f>
        <v>4044178947.2935886</v>
      </c>
    </row>
    <row r="14" spans="1:6" x14ac:dyDescent="0.25">
      <c r="A14" t="s">
        <v>50</v>
      </c>
      <c r="B14" s="21">
        <f>1/(1+Assumptions!$B$26)^(1-0.5*Assumptions!$B$32)</f>
        <v>0.9628068256130072</v>
      </c>
      <c r="C14" s="21">
        <f>1/(1+Assumptions!$B$26)^(2-0.5*Assumptions!$B$32)</f>
        <v>0.8925190229854355</v>
      </c>
      <c r="D14" s="21">
        <f>1/(1+Assumptions!$B$26)^(3-0.5*Assumptions!$B$32)</f>
        <v>0.8273624419765587</v>
      </c>
      <c r="E14" s="21">
        <f>1/(1+Assumptions!$B$26)^(4-0.5*Assumptions!$B$32)</f>
        <v>0.7669624879296101</v>
      </c>
      <c r="F14" s="21">
        <f>1/(1+Assumptions!$B$26)^(5-0.5*Assumptions!$B$32)</f>
        <v>0.7109719127277515</v>
      </c>
    </row>
    <row r="15" spans="1:6" x14ac:dyDescent="0.25">
      <c r="A15" s="19" t="s">
        <v>51</v>
      </c>
      <c r="B15" s="20">
        <f>B13*B14</f>
        <v>2797328472.2045875</v>
      </c>
      <c r="C15" s="20">
        <f>C13*C14</f>
        <v>2816620276.228641</v>
      </c>
      <c r="D15" s="20">
        <f>D13*D14</f>
        <v>2836045126.3737354</v>
      </c>
      <c r="E15" s="20">
        <f>E13*E14</f>
        <v>2855603940.1937866</v>
      </c>
      <c r="F15" s="20">
        <f>F13*F14</f>
        <v>2875297641.570627</v>
      </c>
    </row>
    <row r="17" spans="1:2" x14ac:dyDescent="0.25">
      <c r="A17" s="22" t="s">
        <v>52</v>
      </c>
      <c r="B17" s="23">
        <f>SUM(B15:F15)</f>
        <v>14180895456.571379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4044178947.2935886</v>
      </c>
    </row>
    <row r="5" spans="1:2" x14ac:dyDescent="0.25">
      <c r="A5" t="s">
        <v>56</v>
      </c>
      <c r="B5" s="18">
        <f>IF(Assumptions!$B$33=0,B4,B4-Forecast!F11-Forecast!F10-Forecast!F12)</f>
        <v>4054346435.2659097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0.31745160241904036</v>
      </c>
    </row>
    <row r="7" spans="1:2" x14ac:dyDescent="0.25">
      <c r="A7" t="s">
        <v>58</v>
      </c>
      <c r="B7" s="18">
        <f>-MAX(Forecast!F9,0)*B6</f>
        <v>-1287058772.637087</v>
      </c>
    </row>
    <row r="8" spans="1:2" x14ac:dyDescent="0.25">
      <c r="A8" t="s">
        <v>59</v>
      </c>
      <c r="B8" s="18">
        <f>IF(OR(Assumptions!$B$33=0,Assumptions!B12&lt;=0),B5,MAX(B5+B7,0))</f>
        <v>2767287662.6288223</v>
      </c>
    </row>
    <row r="9" spans="1:2" x14ac:dyDescent="0.25">
      <c r="A9" t="s">
        <v>60</v>
      </c>
      <c r="B9" s="18">
        <f>B8*(1+Assumptions!B12)/(Assumptions!B26-Assumptions!B12)</f>
        <v>52769409678.12056</v>
      </c>
    </row>
    <row r="10" spans="1:2" x14ac:dyDescent="0.25">
      <c r="A10" t="s">
        <v>61</v>
      </c>
      <c r="B10" s="18">
        <f>B9/(1+Assumptions!B26)^(5-0.5*Assumptions!B32)</f>
        <v>37517568132.3677</v>
      </c>
    </row>
    <row r="11" spans="1:2" x14ac:dyDescent="0.25">
      <c r="A11" t="s">
        <v>62</v>
      </c>
      <c r="B11" s="18">
        <f>Forecast!B17+B10</f>
        <v>51698463588.93908</v>
      </c>
    </row>
    <row r="12" spans="1:2" x14ac:dyDescent="0.25">
      <c r="A12" t="s">
        <v>63</v>
      </c>
      <c r="B12" s="18">
        <f>-Assumptions!B30</f>
        <v>-10047000000</v>
      </c>
    </row>
    <row r="13" spans="1:2" x14ac:dyDescent="0.25">
      <c r="A13" t="s">
        <v>64</v>
      </c>
      <c r="B13" s="18">
        <f>B11+B12</f>
        <v>41651463588.93908</v>
      </c>
    </row>
    <row r="14" spans="1:2" x14ac:dyDescent="0.25">
      <c r="A14" s="19" t="s">
        <v>65</v>
      </c>
      <c r="B14" s="24">
        <f>B13/Assumptions!B31</f>
        <v>221.07995535530296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5206843689.392301</v>
      </c>
    </row>
    <row r="18" spans="1:2" x14ac:dyDescent="0.25">
      <c r="A18" t="s">
        <v>60</v>
      </c>
      <c r="B18" s="18">
        <f>B17*Assumptions!B13</f>
        <v>86568813054.62941</v>
      </c>
    </row>
    <row r="19" spans="1:2" x14ac:dyDescent="0.25">
      <c r="A19" t="s">
        <v>61</v>
      </c>
      <c r="B19" s="18">
        <f>B18/(1+Assumptions!B26)^(5-0.5*Assumptions!B32)</f>
        <v>61547994600.02102</v>
      </c>
    </row>
    <row r="20" spans="1:2" x14ac:dyDescent="0.25">
      <c r="A20" t="s">
        <v>62</v>
      </c>
      <c r="B20" s="18">
        <f>Forecast!B17+B19</f>
        <v>75728890056.59239</v>
      </c>
    </row>
    <row r="21" spans="1:2" x14ac:dyDescent="0.25">
      <c r="A21" t="s">
        <v>63</v>
      </c>
      <c r="B21" s="18">
        <f>-Assumptions!B30</f>
        <v>-10047000000</v>
      </c>
    </row>
    <row r="22" spans="1:2" x14ac:dyDescent="0.25">
      <c r="A22" t="s">
        <v>64</v>
      </c>
      <c r="B22" s="18">
        <f>B20+B21</f>
        <v>65681890056.59239</v>
      </c>
    </row>
    <row r="23" spans="1:2" x14ac:dyDescent="0.25">
      <c r="A23" s="19" t="s">
        <v>65</v>
      </c>
      <c r="B23" s="25">
        <f>B22/Assumptions!B31</f>
        <v>348.629989684673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247.29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221.07995535530296</v>
      </c>
    </row>
    <row r="29" spans="1:2" x14ac:dyDescent="0.25">
      <c r="A29" s="19" t="s">
        <v>73</v>
      </c>
      <c r="B29" s="12">
        <f>B28/B26-1</f>
        <v>-0.10598910042742138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0.058752</v>
      </c>
      <c r="B5" s="31">
        <v>314.1564216381794</v>
      </c>
      <c r="C5" s="31">
        <v>316.09282095384424</v>
      </c>
      <c r="D5" s="31">
        <v>318.187574881871</v>
      </c>
      <c r="E5" s="31">
        <v>320.5232974729498</v>
      </c>
      <c r="F5" s="31">
        <v>323.2521666466567</v>
      </c>
    </row>
    <row r="6" spans="1:6" x14ac:dyDescent="0.25">
      <c r="A6" s="30">
        <v>0.068752</v>
      </c>
      <c r="B6" s="31">
        <v>259.27706581200397</v>
      </c>
      <c r="C6" s="31">
        <v>260.4373874548942</v>
      </c>
      <c r="D6" s="31">
        <v>261.5977090977841</v>
      </c>
      <c r="E6" s="31">
        <v>262.75803074067426</v>
      </c>
      <c r="F6" s="31">
        <v>263.9183523835642</v>
      </c>
    </row>
    <row r="7" spans="1:6" x14ac:dyDescent="0.25">
      <c r="A7" s="30">
        <v>0.078752</v>
      </c>
      <c r="B7" s="31">
        <v>219.13771430116674</v>
      </c>
      <c r="C7" s="31">
        <v>220.10912102846012</v>
      </c>
      <c r="D7" s="32">
        <v>221.08052775575342</v>
      </c>
      <c r="E7" s="31">
        <v>222.0519344830468</v>
      </c>
      <c r="F7" s="31">
        <v>223.0233412103401</v>
      </c>
    </row>
    <row r="8" spans="1:6" x14ac:dyDescent="0.25">
      <c r="A8" s="30">
        <v>0.088752</v>
      </c>
      <c r="B8" s="31">
        <v>188.08272113308544</v>
      </c>
      <c r="C8" s="31">
        <v>188.9096182290856</v>
      </c>
      <c r="D8" s="31">
        <v>189.73651532508566</v>
      </c>
      <c r="E8" s="31">
        <v>190.56341242108581</v>
      </c>
      <c r="F8" s="31">
        <v>191.3903095170858</v>
      </c>
    </row>
    <row r="9" spans="1:6" x14ac:dyDescent="0.25">
      <c r="A9" s="30">
        <v>0.098752</v>
      </c>
      <c r="B9" s="31">
        <v>163.3506081140562</v>
      </c>
      <c r="C9" s="31">
        <v>164.06381496714263</v>
      </c>
      <c r="D9" s="31">
        <v>164.77702182022895</v>
      </c>
      <c r="E9" s="31">
        <v>165.49022867331544</v>
      </c>
      <c r="F9" s="31">
        <v>166.20343552640182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21865000000</v>
      </c>
      <c r="C5" s="18">
        <v>21325000000</v>
      </c>
      <c r="D5" s="18">
        <v>19419000000</v>
      </c>
      <c r="E5" s="18">
        <v>17062000000</v>
      </c>
      <c r="F5" s="8" t="s">
        <v>84</v>
      </c>
    </row>
    <row r="6" spans="1:6" x14ac:dyDescent="0.25">
      <c r="A6" t="s">
        <v>44</v>
      </c>
      <c r="B6" s="18">
        <v>2150000000</v>
      </c>
      <c r="C6" s="18">
        <v>2015000000</v>
      </c>
      <c r="D6" s="18">
        <v>1800000000</v>
      </c>
      <c r="E6" s="18">
        <v>1929000000</v>
      </c>
      <c r="F6" s="8" t="s">
        <v>85</v>
      </c>
    </row>
    <row r="7" spans="1:6" x14ac:dyDescent="0.25">
      <c r="A7" t="s">
        <v>86</v>
      </c>
      <c r="B7" s="18">
        <v>1224000000</v>
      </c>
      <c r="C7" s="18">
        <v>1289000000</v>
      </c>
      <c r="D7" s="18">
        <v>1166000000</v>
      </c>
      <c r="E7" s="18">
        <v>938000000</v>
      </c>
      <c r="F7" s="8" t="s">
        <v>87</v>
      </c>
    </row>
    <row r="8" spans="1:6" x14ac:dyDescent="0.25">
      <c r="A8" t="s">
        <v>88</v>
      </c>
      <c r="B8" s="18">
        <v>424000000</v>
      </c>
      <c r="C8" s="18">
        <v>408000000</v>
      </c>
      <c r="D8" s="18">
        <v>449000000</v>
      </c>
      <c r="E8" s="18">
        <v>252000000</v>
      </c>
      <c r="F8" s="8" t="s">
        <v>89</v>
      </c>
    </row>
    <row r="9" spans="1:6" x14ac:dyDescent="0.25">
      <c r="A9" t="s">
        <v>90</v>
      </c>
      <c r="B9" s="18">
        <v>-22000000</v>
      </c>
      <c r="C9" s="18">
        <v>319000000</v>
      </c>
      <c r="D9" s="18">
        <v>152000000</v>
      </c>
      <c r="E9" s="18">
        <v>-90000000</v>
      </c>
      <c r="F9" s="8" t="s">
        <v>91</v>
      </c>
    </row>
    <row r="10" spans="1:6" x14ac:dyDescent="0.25">
      <c r="A10" t="s">
        <v>92</v>
      </c>
      <c r="B10" s="18">
        <v>11116000000</v>
      </c>
      <c r="C10" s="18">
        <v>12236000000</v>
      </c>
      <c r="D10" s="18">
        <v>13125000000</v>
      </c>
      <c r="E10" s="18">
        <v>7045000000</v>
      </c>
      <c r="F10" s="8" t="s">
        <v>93</v>
      </c>
    </row>
    <row r="11" spans="1:6" x14ac:dyDescent="0.25">
      <c r="A11" t="s">
        <v>94</v>
      </c>
      <c r="B11" s="18">
        <v>1069000000</v>
      </c>
      <c r="C11" s="18">
        <v>615000000</v>
      </c>
      <c r="D11" s="18">
        <v>560000000</v>
      </c>
      <c r="E11" s="18">
        <v>880000000</v>
      </c>
      <c r="F11" s="8" t="s">
        <v>95</v>
      </c>
    </row>
    <row r="12" spans="1:6" x14ac:dyDescent="0.25">
      <c r="A12" t="s">
        <v>32</v>
      </c>
      <c r="B12" s="34">
        <v>188400000</v>
      </c>
      <c r="C12" s="34">
        <v>190700000</v>
      </c>
      <c r="D12" s="34">
        <v>190600000</v>
      </c>
      <c r="E12" s="34">
        <v>193500000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2026-09-19T00:07:21Z</dcterms:modified>
</cp:coreProperties>
</file>