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<sst xmlns="http://schemas.openxmlformats.org/spreadsheetml/2006/main" count="119" uniqueCount="106">
  <si>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L3Harris Technologies, Inc. (LHX)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</si>
  <si>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</si>
  <si>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</si>
  <si>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</si>
  <si>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</si>
  <si>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</si>
  <si>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</si>
  <si>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</si>
  <si>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</si>
  <si>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</si>
  <si>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</si>
  <si>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</si>
  <si>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</si>
  <si>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</si>
  <si>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</si>
  <si>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</si>
  <si>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</si>
  <si>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</si>
  <si>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</si>
  <si>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</si>
  <si>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</si>
  <si>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</si>
  <si>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</si>
  <si>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</si>
  <si>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3.6x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</si>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</sst>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0.07862930848387828</v>
      </c>
    </row>
    <row r="7" spans="1:2" x14ac:dyDescent="0.25">
      <c r="A7" t="s">
        <v>4</v>
      </c>
      <c r="B7" s="5">
        <v>0.09964292058892488</v>
      </c>
    </row>
    <row r="8" spans="1:2" x14ac:dyDescent="0.25">
      <c r="A8" t="s">
        <v>5</v>
      </c>
      <c r="B8" s="5">
        <v>0.10988026941717606</v>
      </c>
    </row>
    <row r="9" spans="1:2" x14ac:dyDescent="0.25">
      <c r="A9" t="s">
        <v>6</v>
      </c>
      <c r="B9" s="5">
        <v>0.05786140488711299</v>
      </c>
    </row>
    <row r="10" spans="1:3" x14ac:dyDescent="0.25">
      <c r="A10" t="s">
        <v>7</v>
      </c>
      <c r="B10" s="5">
        <v>0.01910388602003767</v>
      </c>
      <c r="C10" s="6" t="s">
        <v>8</v>
      </c>
    </row>
    <row r="11" spans="1:2" x14ac:dyDescent="0.25">
      <c r="A11" t="s">
        <v>9</v>
      </c>
      <c r="B11" s="5">
        <v>0.024654118918956774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18.298216991108475</v>
      </c>
    </row>
    <row r="14" spans="1:3" x14ac:dyDescent="0.25">
      <c r="A14" t="s">
        <v>12</v>
      </c>
      <c r="B14" s="5">
        <v>0.07265793969382094</v>
      </c>
      <c r="C14" s="6" t="s">
        <v>13</v>
      </c>
    </row>
    <row r="15" spans="1:3" x14ac:dyDescent="0.25">
      <c r="A15" t="s">
        <v>14</v>
      </c>
      <c r="B15" s="5">
        <v>0.019722995511702642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0.66835</v>
      </c>
      <c r="C19" s="6" t="s">
        <v>21</v>
      </c>
    </row>
    <row r="20" spans="1:2" x14ac:dyDescent="0.25">
      <c r="A20" t="s">
        <v>22</v>
      </c>
      <c r="B20" s="9">
        <f>B17+B19*B18</f>
        <v>0.077211205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51691184128</v>
      </c>
    </row>
    <row r="23" spans="1:2" x14ac:dyDescent="0.25">
      <c r="A23" t="s">
        <v>26</v>
      </c>
      <c r="B23" s="10">
        <v>11116000000</v>
      </c>
    </row>
    <row r="24" spans="1:2" x14ac:dyDescent="0.25">
      <c r="A24" t="s">
        <v>27</v>
      </c>
      <c r="B24" s="9">
        <f>B22/(B22+B23)</f>
        <v>0.8230138772445875</v>
      </c>
    </row>
    <row r="25" spans="1:2" x14ac:dyDescent="0.25">
      <c r="A25" t="s">
        <v>28</v>
      </c>
      <c r="B25" s="9">
        <f>1-B24</f>
        <v>0.17698612275541248</v>
      </c>
    </row>
    <row r="26" spans="1:2" x14ac:dyDescent="0.25">
      <c r="A26" t="s">
        <v>29</v>
      </c>
      <c r="B26" s="11">
        <f>B24*B20+B25*B21*(1-B8)</f>
        <v>0.07265793969382094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21865000000</v>
      </c>
      <c r="C29" s="6" t="s">
        <v>32</v>
      </c>
    </row>
    <row r="30" spans="1:2" x14ac:dyDescent="0.25">
      <c r="A30" t="s">
        <v>33</v>
      </c>
      <c r="B30" s="10">
        <v>10047000000</v>
      </c>
    </row>
    <row r="31" spans="1:2" x14ac:dyDescent="0.25">
      <c r="A31" t="s">
        <v>34</v>
      </c>
      <c r="B31" s="12">
        <v>188400000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0.07862930848387828</v>
      </c>
      <c r="C5" s="5">
        <v>0.06988517674227568</v>
      </c>
      <c r="D5" s="5">
        <v>0.06427452964949122</v>
      </c>
      <c r="E5" s="5">
        <v>0.05866388255670676</v>
      </c>
      <c r="F5" s="5">
        <v>0.0530532354639223</v>
      </c>
      <c r="G5" s="5">
        <v>0.04744258837113784</v>
      </c>
      <c r="H5" s="5">
        <v>0.04183194127835338</v>
      </c>
      <c r="I5" s="5">
        <v>0.03622129418556892</v>
      </c>
      <c r="J5" s="5">
        <v>0.03061064709278446</v>
      </c>
      <c r="K5" s="5">
        <v>0.025</v>
      </c>
    </row>
    <row r="6" spans="1:11" x14ac:dyDescent="0.25">
      <c r="A6" t="s">
        <v>50</v>
      </c>
      <c r="B6" s="18">
        <f>Assumptions!B29*(1+B5)</f>
        <v>23584229830</v>
      </c>
      <c r="C6" s="18">
        <f>B6*(1+C5)</f>
        <v>25232417900</v>
      </c>
      <c r="D6" s="18">
        <f>C6*(1+D5)</f>
        <v>26854219692.441906</v>
      </c>
      <c r="E6" s="18">
        <f>D6*(1+E5)</f>
        <v>28429592482.63132</v>
      </c>
      <c r="F6" s="18">
        <f>E6*(1+F5)</f>
        <v>29937874346.75572</v>
      </c>
      <c r="G6" s="18">
        <f>F6*(1+G5)</f>
        <v>31358204596.095695</v>
      </c>
      <c r="H6" s="18">
        <f>G6*(1+H5)</f>
        <v>32669979169.354164</v>
      </c>
      <c r="I6" s="18">
        <f>H6*(1+I5)</f>
        <v>33853328095.883747</v>
      </c>
      <c r="J6" s="18">
        <f>I6*(1+J5)</f>
        <v>34889600375.14309</v>
      </c>
      <c r="K6" s="18">
        <f>J6*(1+K5)</f>
        <v>35761840384.52166</v>
      </c>
    </row>
    <row r="7" spans="1:11" x14ac:dyDescent="0.25">
      <c r="A7" t="s">
        <v>4</v>
      </c>
      <c r="B7" s="9">
        <f>Assumptions!B7</f>
        <v>0.09964292058892488</v>
      </c>
      <c r="C7" s="9">
        <f>Assumptions!B7</f>
        <v>0.09964292058892488</v>
      </c>
      <c r="D7" s="9">
        <f>Assumptions!B7</f>
        <v>0.09964292058892488</v>
      </c>
      <c r="E7" s="9">
        <f>Assumptions!B7</f>
        <v>0.09964292058892488</v>
      </c>
      <c r="F7" s="9">
        <f>Assumptions!B7</f>
        <v>0.09964292058892488</v>
      </c>
      <c r="G7" s="9">
        <f>Assumptions!B7</f>
        <v>0.09964292058892488</v>
      </c>
      <c r="H7" s="9">
        <f>Assumptions!B7</f>
        <v>0.09964292058892488</v>
      </c>
      <c r="I7" s="9">
        <f>Assumptions!B7</f>
        <v>0.09964292058892488</v>
      </c>
      <c r="J7" s="9">
        <f>Assumptions!B7</f>
        <v>0.09964292058892488</v>
      </c>
      <c r="K7" s="9">
        <f>Assumptions!B7</f>
        <v>0.09964292058892488</v>
      </c>
    </row>
    <row r="8" spans="1:11" x14ac:dyDescent="0.25">
      <c r="A8" t="s">
        <v>51</v>
      </c>
      <c r="B8" s="18">
        <f>B6*B7</f>
        <v>2350001540.101643</v>
      </c>
      <c r="C8" s="18">
        <f>C6*C7</f>
        <v>2514231813.076267</v>
      </c>
      <c r="D8" s="18">
        <f>D6*D7</f>
        <v>2675832880.2915316</v>
      </c>
      <c r="E8" s="18">
        <f>E6*E7</f>
        <v>2832807626.1223283</v>
      </c>
      <c r="F8" s="18">
        <f>F6*F7</f>
        <v>2983097236.134991</v>
      </c>
      <c r="G8" s="18">
        <f>G6*G7</f>
        <v>3124623090.3800225</v>
      </c>
      <c r="H8" s="18">
        <f>H6*H7</f>
        <v>3255332140.013787</v>
      </c>
      <c r="I8" s="18">
        <f>I6*I7</f>
        <v>3373244483.1289635</v>
      </c>
      <c r="J8" s="18">
        <f>J6*J7</f>
        <v>3476501679.559706</v>
      </c>
      <c r="K8" s="18">
        <f>K6*K7</f>
        <v>3563414221.5486984</v>
      </c>
    </row>
    <row r="9" spans="1:11" x14ac:dyDescent="0.25">
      <c r="A9" t="s">
        <v>52</v>
      </c>
      <c r="B9" s="18">
        <f>B8*(1-Assumptions!B8)</f>
        <v>2091782737.7444959</v>
      </c>
      <c r="C9" s="18">
        <f>C8*(1-Assumptions!B8)</f>
        <v>2237967344.0782113</v>
      </c>
      <c r="D9" s="18">
        <f>D8*(1-Assumptions!B8)</f>
        <v>2381811642.48976</v>
      </c>
      <c r="E9" s="18">
        <f>E8*(1-Assumptions!B8)</f>
        <v>2521537960.956976</v>
      </c>
      <c r="F9" s="18">
        <f>F8*(1-Assumptions!B8)</f>
        <v>2655313708.130845</v>
      </c>
      <c r="G9" s="18">
        <f>G8*(1-Assumptions!B8)</f>
        <v>2781288663.381936</v>
      </c>
      <c r="H9" s="18">
        <f>H8*(1-Assumptions!B8)</f>
        <v>2897635367.4266796</v>
      </c>
      <c r="I9" s="18">
        <f>I8*(1-Assumptions!B8)</f>
        <v>3002591470.51275</v>
      </c>
      <c r="J9" s="18">
        <f>J8*(1-Assumptions!B8)</f>
        <v>3094502738.3804207</v>
      </c>
      <c r="K9" s="18">
        <f>K8*(1-Assumptions!B8)</f>
        <v>3171865306.8399305</v>
      </c>
    </row>
    <row r="10" spans="1:11" x14ac:dyDescent="0.25">
      <c r="A10" t="s">
        <v>53</v>
      </c>
      <c r="B10" s="18">
        <f>B6*Assumptions!B9</f>
        <v>1364616671.144358</v>
      </c>
      <c r="C10" s="18">
        <f>C6*Assumptions!B9</f>
        <v>1459983148.3927374</v>
      </c>
      <c r="D10" s="18">
        <f>D6*Assumptions!B9</f>
        <v>1553822878.5518641</v>
      </c>
      <c r="E10" s="18">
        <f>E6*Assumptions!B9</f>
        <v>1644976161.4131546</v>
      </c>
      <c r="F10" s="18">
        <f>F6*Assumptions!B9</f>
        <v>1732247469.037146</v>
      </c>
      <c r="G10" s="18">
        <f>G6*Assumptions!B9</f>
        <v>1814429772.6676207</v>
      </c>
      <c r="H10" s="18">
        <f>H6*Assumptions!B9</f>
        <v>1890330892.3715487</v>
      </c>
      <c r="I10" s="18">
        <f>I6*Assumptions!B9</f>
        <v>1958801123.7322075</v>
      </c>
      <c r="J10" s="18">
        <f>J6*Assumptions!B9</f>
        <v>2018761293.6557236</v>
      </c>
      <c r="K10" s="18">
        <f>K6*Assumptions!B9</f>
        <v>2069230325.9971163</v>
      </c>
    </row>
    <row r="11" spans="1:11" x14ac:dyDescent="0.25">
      <c r="A11" t="s">
        <v>54</v>
      </c>
      <c r="B11" s="18">
        <f>-B6*B19</f>
        <v>-450550438.54269236</v>
      </c>
      <c r="C11" s="18">
        <f>-C6*C19</f>
        <v>-602080421.0909655</v>
      </c>
      <c r="D11" s="18">
        <f>-D6*D19</f>
        <v>-768537761.7740487</v>
      </c>
      <c r="E11" s="18">
        <f>-E6*E19</f>
        <v>-948876908.9645793</v>
      </c>
      <c r="F11" s="18">
        <f>-F6*F19</f>
        <v>-1141647285.655331</v>
      </c>
      <c r="G11" s="18">
        <f>-G6*G19</f>
        <v>-1344996593.2679212</v>
      </c>
      <c r="H11" s="18">
        <f>-H6*H19</f>
        <v>-1556687782.466839</v>
      </c>
      <c r="I11" s="18">
        <f>-I6*I19</f>
        <v>-1774130179.7986426</v>
      </c>
      <c r="J11" s="18">
        <f>-J6*J19</f>
        <v>-1994424667.454506</v>
      </c>
      <c r="K11" s="18">
        <f>-K6*K19</f>
        <v>-2214422179.336891</v>
      </c>
    </row>
    <row r="12" spans="1:11" x14ac:dyDescent="0.25">
      <c r="A12" t="s">
        <v>55</v>
      </c>
      <c r="B12" s="18">
        <f>-(B6-Assumptions!B29)*Assumptions!B11</f>
        <v>-42386096.67783784</v>
      </c>
      <c r="C12" s="18">
        <f>-(C6-B6)*Assumptions!B11</f>
        <v>-40634624.67858585</v>
      </c>
      <c r="D12" s="18">
        <f>-(D6-C6)*Assumptions!B11</f>
        <v>-39984094.25384</v>
      </c>
      <c r="E12" s="18">
        <f>-(E6-D6)*Assumptions!B11</f>
        <v>-38839428.111018576</v>
      </c>
      <c r="F12" s="18">
        <f>-(F6-E6)*Assumptions!B11</f>
        <v>-37185360.44142869</v>
      </c>
      <c r="G12" s="18">
        <f>-(G6-F6)*Assumptions!B11</f>
        <v>-35016990.871419325</v>
      </c>
      <c r="H12" s="18">
        <f>-(H6-G6)*Assumptions!B11</f>
        <v>-32340646.32397806</v>
      </c>
      <c r="I12" s="18">
        <f>-(I6-H6)*Assumptions!B11</f>
        <v>-29174425.15728018</v>
      </c>
      <c r="J12" s="18">
        <f>-(J6-I6)*Assumptions!B11</f>
        <v>-25548380.005278207</v>
      </c>
      <c r="K12" s="18">
        <f>-(K6-J6)*Assumptions!B11</f>
        <v>-21504308.91709125</v>
      </c>
    </row>
    <row r="13" spans="1:11" x14ac:dyDescent="0.25">
      <c r="A13" s="19" t="s">
        <v>56</v>
      </c>
      <c r="B13" s="20">
        <f>B9+B10+B11+B12</f>
        <v>2963462873.668324</v>
      </c>
      <c r="C13" s="20">
        <f>C9+C10+C11+C12</f>
        <v>3055235446.701397</v>
      </c>
      <c r="D13" s="20">
        <f>D9+D10+D11+D12</f>
        <v>3127112665.0137353</v>
      </c>
      <c r="E13" s="20">
        <f>E9+E10+E11+E12</f>
        <v>3178797785.2945323</v>
      </c>
      <c r="F13" s="20">
        <f>F9+F10+F11+F12</f>
        <v>3208728531.0712323</v>
      </c>
      <c r="G13" s="20">
        <f>G9+G10+G11+G12</f>
        <v>3215704851.910216</v>
      </c>
      <c r="H13" s="20">
        <f>H9+H10+H11+H12</f>
        <v>3198937831.0074115</v>
      </c>
      <c r="I13" s="20">
        <f>I9+I10+I11+I12</f>
        <v>3158087989.2890353</v>
      </c>
      <c r="J13" s="20">
        <f>J9+J10+J11+J12</f>
        <v>3093290984.57636</v>
      </c>
      <c r="K13" s="20">
        <f>K9+K10+K11+K12</f>
        <v>3005169144.583064</v>
      </c>
    </row>
    <row r="14" spans="1:11" x14ac:dyDescent="0.25">
      <c r="A14" t="s">
        <v>57</v>
      </c>
      <c r="B14" s="21">
        <f>1/(1+Assumptions!$B$26)^(1-0.5*Assumptions!$B$32)</f>
        <v>0.9655380077190493</v>
      </c>
      <c r="C14" s="21">
        <f>1/(1+Assumptions!$B$26)^(2-0.5*Assumptions!$B$32)</f>
        <v>0.9001359818346677</v>
      </c>
      <c r="D14" s="21">
        <f>1/(1+Assumptions!$B$26)^(3-0.5*Assumptions!$B$32)</f>
        <v>0.8391640508358164</v>
      </c>
      <c r="E14" s="21">
        <f>1/(1+Assumptions!$B$26)^(4-0.5*Assumptions!$B$32)</f>
        <v>0.7823221362397663</v>
      </c>
      <c r="F14" s="21">
        <f>1/(1+Assumptions!$B$26)^(5-0.5*Assumptions!$B$32)</f>
        <v>0.7293304857866172</v>
      </c>
      <c r="G14" s="21">
        <f>1/(1+Assumptions!$B$26)^(6-0.5*Assumptions!$B$32)</f>
        <v>0.6799282966150392</v>
      </c>
      <c r="H14" s="21">
        <f>1/(1+Assumptions!$B$26)^(7-0.5*Assumptions!$B$32)</f>
        <v>0.6338724316990724</v>
      </c>
      <c r="I14" s="21">
        <f>1/(1+Assumptions!$B$26)^(8-0.5*Assumptions!$B$32)</f>
        <v>0.5909362232288186</v>
      </c>
      <c r="J14" s="21">
        <f>1/(1+Assumptions!$B$26)^(9-0.5*Assumptions!$B$32)</f>
        <v>0.5509083570457654</v>
      </c>
      <c r="K14" s="21">
        <f>1/(1+Assumptions!$B$26)^(10-0.5*Assumptions!$B$32)</f>
        <v>0.5135918326423953</v>
      </c>
    </row>
    <row r="15" spans="1:11" x14ac:dyDescent="0.25">
      <c r="A15" s="19" t="s">
        <v>58</v>
      </c>
      <c r="B15" s="20">
        <f>B13*B14</f>
        <v>2861336038.991082</v>
      </c>
      <c r="C15" s="20">
        <f>C13*C14</f>
        <v>2750127358.5526414</v>
      </c>
      <c r="D15" s="20">
        <f>D13*D14</f>
        <v>2624160531.3929114</v>
      </c>
      <c r="E15" s="20">
        <f>E13*E14</f>
        <v>2486843874.0658565</v>
      </c>
      <c r="F15" s="20">
        <f>F13*F14</f>
        <v>2340223538.32356</v>
      </c>
      <c r="G15" s="20">
        <f>G13*G14</f>
        <v>2186448722.37603</v>
      </c>
      <c r="H15" s="20">
        <f>H13*H14</f>
        <v>2027718501.7948241</v>
      </c>
      <c r="I15" s="20">
        <f>I13*I14</f>
        <v>1866228589.0147562</v>
      </c>
      <c r="J15" s="20">
        <f>J13*J14</f>
        <v>1704119854.1774404</v>
      </c>
      <c r="K15" s="20">
        <f>K13*K14</f>
        <v>1543430328.3667953</v>
      </c>
    </row>
    <row r="17" spans="1:2" x14ac:dyDescent="0.25">
      <c r="A17" s="22" t="s">
        <v>59</v>
      </c>
      <c r="B17" s="23">
        <f>SUM(B15:K15)</f>
        <v>22390637337.055897</v>
      </c>
    </row>
    <row r="19" spans="1:11" x14ac:dyDescent="0.25">
      <c r="A19" t="s">
        <v>7</v>
      </c>
      <c r="B19" s="9">
        <f>Assumptions!$B$10+($B$20-Assumptions!$B$10)*0/9</f>
        <v>0.01910388602003767</v>
      </c>
      <c r="C19" s="9">
        <f>Assumptions!$B$10+($B$20-Assumptions!$B$10)*1/9</f>
        <v>0.023861384330154323</v>
      </c>
      <c r="D19" s="9">
        <f>Assumptions!$B$10+($B$20-Assumptions!$B$10)*2/9</f>
        <v>0.028618882640270977</v>
      </c>
      <c r="E19" s="9">
        <f>Assumptions!$B$10+($B$20-Assumptions!$B$10)*3/9</f>
        <v>0.03337638095038763</v>
      </c>
      <c r="F19" s="9">
        <f>Assumptions!$B$10+($B$20-Assumptions!$B$10)*4/9</f>
        <v>0.03813387926050428</v>
      </c>
      <c r="G19" s="9">
        <f>Assumptions!$B$10+($B$20-Assumptions!$B$10)*5/9</f>
        <v>0.042891377570620934</v>
      </c>
      <c r="H19" s="9">
        <f>Assumptions!$B$10+($B$20-Assumptions!$B$10)*6/9</f>
        <v>0.04764887588073759</v>
      </c>
      <c r="I19" s="9">
        <f>Assumptions!$B$10+($B$20-Assumptions!$B$10)*7/9</f>
        <v>0.05240637419085424</v>
      </c>
      <c r="J19" s="9">
        <f>Assumptions!$B$10+($B$20-Assumptions!$B$10)*8/9</f>
        <v>0.057163872500970894</v>
      </c>
      <c r="K19" s="9">
        <f>Assumptions!$B$10+($B$20-Assumptions!$B$10)*9/9</f>
        <v>0.06192137081108755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0.06192137081108755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3005169144.583064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4385899348.003597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0.344078019626616</v>
      </c>
    </row>
    <row r="7" spans="1:2" x14ac:dyDescent="0.25">
      <c r="A7" t="s">
        <v>66</v>
      </c>
      <c r="B7" s="18">
        <f>-MAX(B5,0)*B6</f>
        <v>-1509091561.942744</v>
      </c>
    </row>
    <row r="8" spans="1:2" x14ac:dyDescent="0.25">
      <c r="A8" t="s">
        <v>67</v>
      </c>
      <c r="B8" s="18">
        <f>IF(OR(Assumptions!$B$33=0,Assumptions!B12&lt;=0),B5,MAX(B5+B7,0))</f>
        <v>2876807786.060853</v>
      </c>
    </row>
    <row r="9" spans="1:2" x14ac:dyDescent="0.25">
      <c r="A9" t="s">
        <v>68</v>
      </c>
      <c r="B9" s="18">
        <f>B8*(1+Assumptions!B12)/(Assumptions!B26-Assumptions!B12)</f>
        <v>61872754039.6525</v>
      </c>
    </row>
    <row r="10" spans="1:2" x14ac:dyDescent="0.25">
      <c r="A10" t="s">
        <v>69</v>
      </c>
      <c r="B10" s="18">
        <f>B9/(1+Assumptions!B26)^(10-0.5*Assumptions!B32)</f>
        <v>31777341137.857292</v>
      </c>
    </row>
    <row r="11" spans="1:2" x14ac:dyDescent="0.25">
      <c r="A11" t="s">
        <v>70</v>
      </c>
      <c r="B11" s="18">
        <f>Forecast!B17+B10</f>
        <v>54167978474.91319</v>
      </c>
    </row>
    <row r="12" spans="1:2" x14ac:dyDescent="0.25">
      <c r="A12" t="s">
        <v>71</v>
      </c>
      <c r="B12" s="18">
        <f>-Assumptions!B30</f>
        <v>-10047000000</v>
      </c>
    </row>
    <row r="13" spans="1:2" x14ac:dyDescent="0.25">
      <c r="A13" t="s">
        <v>72</v>
      </c>
      <c r="B13" s="18">
        <f>B11+B12</f>
        <v>44120978474.91319</v>
      </c>
    </row>
    <row r="14" spans="1:2" x14ac:dyDescent="0.25">
      <c r="A14" s="19" t="s">
        <v>73</v>
      </c>
      <c r="B14" s="24">
        <f>B13/Assumptions!B31</f>
        <v>234.18778383711887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5632644547.5458145</v>
      </c>
    </row>
    <row r="18" spans="1:2" x14ac:dyDescent="0.25">
      <c r="A18" t="s">
        <v>68</v>
      </c>
      <c r="B18" s="18">
        <f>B17*Assumptions!B13</f>
        <v>103067352164.77733</v>
      </c>
    </row>
    <row r="19" spans="1:2" x14ac:dyDescent="0.25">
      <c r="A19" t="s">
        <v>69</v>
      </c>
      <c r="B19" s="18">
        <f>B18/(1+Assumptions!B26)^(10-0.5*Assumptions!B32)</f>
        <v>52934550283.907135</v>
      </c>
    </row>
    <row r="20" spans="1:2" x14ac:dyDescent="0.25">
      <c r="A20" t="s">
        <v>70</v>
      </c>
      <c r="B20" s="18">
        <f>Forecast!B17+B19</f>
        <v>75325187620.96303</v>
      </c>
    </row>
    <row r="21" spans="1:2" x14ac:dyDescent="0.25">
      <c r="A21" t="s">
        <v>71</v>
      </c>
      <c r="B21" s="18">
        <f>-Assumptions!B30</f>
        <v>-10047000000</v>
      </c>
    </row>
    <row r="22" spans="1:2" x14ac:dyDescent="0.25">
      <c r="A22" t="s">
        <v>72</v>
      </c>
      <c r="B22" s="18">
        <f>B20+B21</f>
        <v>65278187620.96303</v>
      </c>
    </row>
    <row r="23" spans="1:2" x14ac:dyDescent="0.25">
      <c r="A23" s="19" t="s">
        <v>73</v>
      </c>
      <c r="B23" s="25">
        <f>B22/Assumptions!B31</f>
        <v>346.4871954403558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277.61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234.18778383711887</v>
      </c>
    </row>
    <row r="29" spans="1:2" x14ac:dyDescent="0.25">
      <c r="A29" s="19" t="s">
        <v>81</v>
      </c>
      <c r="B29" s="11">
        <f>B28/B26-1</f>
        <v>-0.15641445251569153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0.052658</v>
      </c>
      <c r="B5" s="31">
        <v>370.9096302170037</v>
      </c>
      <c r="C5" s="31">
        <v>372.71925596232217</v>
      </c>
      <c r="D5" s="31">
        <v>377.02746530208043</v>
      </c>
      <c r="E5" s="31">
        <v>385.4883651264103</v>
      </c>
      <c r="F5" s="31">
        <v>401.6295552353213</v>
      </c>
    </row>
    <row r="6" spans="1:6" x14ac:dyDescent="0.25">
      <c r="A6" s="30">
        <v>0.062658</v>
      </c>
      <c r="B6" s="31">
        <v>289.6781269332648</v>
      </c>
      <c r="C6" s="31">
        <v>285.11699901350505</v>
      </c>
      <c r="D6" s="31">
        <v>280.5558710937452</v>
      </c>
      <c r="E6" s="31">
        <v>275.9947431739854</v>
      </c>
      <c r="F6" s="31">
        <v>271.4336152542255</v>
      </c>
    </row>
    <row r="7" spans="1:6" x14ac:dyDescent="0.25">
      <c r="A7" s="30">
        <v>0.072658</v>
      </c>
      <c r="B7" s="31">
        <v>241.6188546541814</v>
      </c>
      <c r="C7" s="31">
        <v>237.9031987455671</v>
      </c>
      <c r="D7" s="32">
        <v>234.1875428369528</v>
      </c>
      <c r="E7" s="31">
        <v>230.47188692833845</v>
      </c>
      <c r="F7" s="31">
        <v>226.75623101972423</v>
      </c>
    </row>
    <row r="8" spans="1:6" x14ac:dyDescent="0.25">
      <c r="A8" s="30">
        <v>0.082658</v>
      </c>
      <c r="B8" s="31">
        <v>205.25607664310326</v>
      </c>
      <c r="C8" s="31">
        <v>202.16803987318656</v>
      </c>
      <c r="D8" s="31">
        <v>199.08000310326983</v>
      </c>
      <c r="E8" s="31">
        <v>195.99196633335308</v>
      </c>
      <c r="F8" s="31">
        <v>192.90392956343644</v>
      </c>
    </row>
    <row r="9" spans="1:6" x14ac:dyDescent="0.25">
      <c r="A9" s="30">
        <v>0.092658</v>
      </c>
      <c r="B9" s="31">
        <v>176.7995437230915</v>
      </c>
      <c r="C9" s="31">
        <v>174.19276491227484</v>
      </c>
      <c r="D9" s="31">
        <v>171.58598610145827</v>
      </c>
      <c r="E9" s="31">
        <v>168.97920729064163</v>
      </c>
      <c r="F9" s="31">
        <v>166.372428479825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21865000000</v>
      </c>
      <c r="C5" s="18">
        <v>21325000000</v>
      </c>
      <c r="D5" s="18">
        <v>19419000000</v>
      </c>
      <c r="E5" s="18">
        <v>17062000000</v>
      </c>
      <c r="F5" s="6" t="s">
        <v>91</v>
      </c>
    </row>
    <row r="6" spans="1:6" x14ac:dyDescent="0.25">
      <c r="A6" t="s">
        <v>51</v>
      </c>
      <c r="B6" s="18">
        <v>2150000000</v>
      </c>
      <c r="C6" s="18">
        <v>2015000000</v>
      </c>
      <c r="D6" s="18">
        <v>1800000000</v>
      </c>
      <c r="E6" s="18">
        <v>1929000000</v>
      </c>
      <c r="F6" s="6" t="s">
        <v>92</v>
      </c>
    </row>
    <row r="7" spans="1:6" x14ac:dyDescent="0.25">
      <c r="A7" t="s">
        <v>93</v>
      </c>
      <c r="B7" s="18">
        <v>1224000000</v>
      </c>
      <c r="C7" s="18">
        <v>1289000000</v>
      </c>
      <c r="D7" s="18">
        <v>1166000000</v>
      </c>
      <c r="E7" s="18">
        <v>938000000</v>
      </c>
      <c r="F7" s="6" t="s">
        <v>94</v>
      </c>
    </row>
    <row r="8" spans="1:6" x14ac:dyDescent="0.25">
      <c r="A8" t="s">
        <v>95</v>
      </c>
      <c r="B8" s="18">
        <v>424000000</v>
      </c>
      <c r="C8" s="18">
        <v>408000000</v>
      </c>
      <c r="D8" s="18">
        <v>449000000</v>
      </c>
      <c r="E8" s="18">
        <v>252000000</v>
      </c>
      <c r="F8" s="6" t="s">
        <v>96</v>
      </c>
    </row>
    <row r="9" spans="1:6" x14ac:dyDescent="0.25">
      <c r="A9" t="s">
        <v>97</v>
      </c>
      <c r="B9" s="18">
        <v>-22000000</v>
      </c>
      <c r="C9" s="18">
        <v>319000000</v>
      </c>
      <c r="D9" s="18">
        <v>152000000</v>
      </c>
      <c r="E9" s="18">
        <v>-90000000</v>
      </c>
      <c r="F9" s="6" t="s">
        <v>98</v>
      </c>
    </row>
    <row r="10" spans="1:6" x14ac:dyDescent="0.25">
      <c r="A10" t="s">
        <v>99</v>
      </c>
      <c r="B10" s="18">
        <v>11116000000</v>
      </c>
      <c r="C10" s="18">
        <v>12236000000</v>
      </c>
      <c r="D10" s="18">
        <v>13125000000</v>
      </c>
      <c r="E10" s="18">
        <v>7045000000</v>
      </c>
      <c r="F10" s="6" t="s">
        <v>100</v>
      </c>
    </row>
    <row r="11" spans="1:6" x14ac:dyDescent="0.25">
      <c r="A11" t="s">
        <v>101</v>
      </c>
      <c r="B11" s="18">
        <v>1069000000</v>
      </c>
      <c r="C11" s="18">
        <v>615000000</v>
      </c>
      <c r="D11" s="18">
        <v>560000000</v>
      </c>
      <c r="E11" s="18">
        <v>880000000</v>
      </c>
      <c r="F11" s="6" t="s">
        <v>102</v>
      </c>
    </row>
    <row r="12" spans="1:6" x14ac:dyDescent="0.25">
      <c r="A12" t="s">
        <v>34</v>
      </c>
      <c r="B12" s="34">
        <v>188400000</v>
      </c>
      <c r="C12" s="34">
        <v>190700000</v>
      </c>
      <c r="D12" s="34">
        <v>190600000</v>
      </c>
      <c r="E12" s="34">
        <v>193500000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