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<sst xmlns="http://schemas.openxmlformats.org/spreadsheetml/2006/main" count="120" uniqueCount="107">
  <si>
    <t>Lennox International Inc. (LII)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</si>
  <si>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</si>
  <si>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</si>
  <si>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</si>
  <si>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</si>
  <si>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</si>
  <si>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</si>
  <si>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</si>
  <si>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</si>
  <si>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</si>
  <si>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</si>
  <si>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</si>
  <si>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</si>
  <si>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</si>
  <si>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</si>
  <si>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</si>
  <si>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</si>
  <si>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</si>
  <si>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</si>
  <si>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</si>
  <si>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</si>
  <si>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</si>
  <si>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</si>
  <si>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</si>
  <si>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+ 40bp, the spread for a AAA rating at 22.7x interest cover. Book interest / average debt was lower, at 2.8%.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</si>
  <si>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</si>
  <si>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</si>
  <si>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</si>
  <si>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</si>
  <si>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</si>
  <si>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</si>
  <si>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</si>
  <si>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</si>
  <si>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</si>
  <si>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</si>
  <si>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</si>
  <si>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</si>
  <si>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</si>
  <si>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</si>
  <si>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</si>
  <si>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</si>
  <si>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</si>
  <si>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</si>
  <si>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</si>
  <si>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</si>
  <si>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</si>
  <si>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</si>
  <si>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</si>
  <si>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</si>
  <si>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</si>
  <si>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</si>
  <si>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</si>
  <si>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</si>
  <si>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</si>
  <si>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</si>
  <si>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</si>
  <si>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</si>
  <si>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</si>
  <si>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</si>
  <si>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</si>
  <si>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</si>
  <si>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</si>
  <si>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</si>
  <si>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</si>
  <si>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</si>
  <si>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</si>
  <si>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</si>
  <si>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</si>
  <si>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</si>
  <si>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</si>
  <si>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</si>
  <si>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</si>
  <si>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</si>
  <si>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</si>
  <si>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</si>
  <si>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</si>
  <si>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</si>
  <si>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</si>
  <si>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</si>
  <si>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</si>
  <si>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</si>
  <si>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</si>
  <si>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</si>
  <si>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</si>
  <si>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</si>
  <si>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</si>
  <si>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</si>
  <si>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</si>
  <si>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</si>
  <si>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</si>
  <si>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</si>
  <si>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</si>
  <si>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</si>
  <si>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</si>
  <si>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</si>
  <si>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</si>
  <si>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</si>
  <si>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</si>
  <si>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</si>
  <si>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</si>
  <si>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</si>
  <si>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</si>
  <si>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</si>
  <si>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</si>
  <si>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</si>
  <si>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3.1% of revenue against depreciation of 1.8%.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</si>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</sst>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0.057302090350894064</v>
      </c>
    </row>
    <row r="7" spans="1:2" x14ac:dyDescent="0.25">
      <c r="A7" t="s">
        <v>4</v>
      </c>
      <c r="B7" s="5">
        <v>0.17696582378991244</v>
      </c>
    </row>
    <row r="8" spans="1:2" x14ac:dyDescent="0.25">
      <c r="A8" t="s">
        <v>5</v>
      </c>
      <c r="B8" s="5">
        <v>0.19218527544068267</v>
      </c>
    </row>
    <row r="9" spans="1:2" x14ac:dyDescent="0.25">
      <c r="A9" t="s">
        <v>6</v>
      </c>
      <c r="B9" s="5">
        <v>0.018307791448211617</v>
      </c>
    </row>
    <row r="10" spans="1:3" x14ac:dyDescent="0.25">
      <c r="A10" t="s">
        <v>7</v>
      </c>
      <c r="B10" s="5">
        <v>0.03128615681385163</v>
      </c>
      <c r="C10" s="6" t="s">
        <v>8</v>
      </c>
    </row>
    <row r="11" spans="1:2" x14ac:dyDescent="0.25">
      <c r="A11" t="s">
        <v>9</v>
      </c>
      <c r="B11" s="5">
        <v>0.19486159707825043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11.586545944925795</v>
      </c>
    </row>
    <row r="14" spans="1:3" x14ac:dyDescent="0.25">
      <c r="A14" t="s">
        <v>12</v>
      </c>
      <c r="B14" s="5">
        <v>0.41307330541464615</v>
      </c>
      <c r="C14" s="6" t="s">
        <v>13</v>
      </c>
    </row>
    <row r="15" spans="1:3" x14ac:dyDescent="0.25">
      <c r="A15" t="s">
        <v>14</v>
      </c>
      <c r="B15" s="5">
        <v>0.018307791448211617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1.10921</v>
      </c>
      <c r="C19" s="6" t="s">
        <v>21</v>
      </c>
    </row>
    <row r="20" spans="1:2" x14ac:dyDescent="0.25">
      <c r="A20" t="s">
        <v>22</v>
      </c>
      <c r="B20" s="9">
        <f>B17+B19*B18</f>
        <v>0.095859583</v>
      </c>
    </row>
    <row r="21" spans="1:3" x14ac:dyDescent="0.25">
      <c r="A21" t="s">
        <v>23</v>
      </c>
      <c r="B21" s="5">
        <v>0.05294</v>
      </c>
      <c r="C21" s="6" t="s">
        <v>24</v>
      </c>
    </row>
    <row r="22" spans="1:2" x14ac:dyDescent="0.25">
      <c r="A22" t="s">
        <v>25</v>
      </c>
      <c r="B22" s="10">
        <v>11770436608</v>
      </c>
    </row>
    <row r="23" spans="1:2" x14ac:dyDescent="0.25">
      <c r="A23" t="s">
        <v>26</v>
      </c>
      <c r="B23" s="10">
        <v>1770700000</v>
      </c>
    </row>
    <row r="24" spans="1:2" x14ac:dyDescent="0.25">
      <c r="A24" t="s">
        <v>27</v>
      </c>
      <c r="B24" s="9">
        <f>B22/(B22+B23)</f>
        <v>0.869235496896628</v>
      </c>
    </row>
    <row r="25" spans="1:2" x14ac:dyDescent="0.25">
      <c r="A25" t="s">
        <v>28</v>
      </c>
      <c r="B25" s="9">
        <f>1-B24</f>
        <v>0.13076450310337195</v>
      </c>
    </row>
    <row r="26" spans="1:2" x14ac:dyDescent="0.25">
      <c r="A26" t="s">
        <v>29</v>
      </c>
      <c r="B26" s="11">
        <f>B24*B20+B25*B21*(1-B8)</f>
        <v>0.08891678927784424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5195300000</v>
      </c>
      <c r="C29" s="6" t="s">
        <v>32</v>
      </c>
    </row>
    <row r="30" spans="1:2" x14ac:dyDescent="0.25">
      <c r="A30" t="s">
        <v>33</v>
      </c>
      <c r="B30" s="10">
        <v>1736000000</v>
      </c>
    </row>
    <row r="31" spans="1:2" x14ac:dyDescent="0.25">
      <c r="A31" t="s">
        <v>34</v>
      </c>
      <c r="B31" s="12">
        <v>35400000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0.057302090350894064</v>
      </c>
      <c r="C5" s="5">
        <v>0.055870807099990705</v>
      </c>
      <c r="D5" s="5">
        <v>0.05201195621249187</v>
      </c>
      <c r="E5" s="5">
        <v>0.04815310532499303</v>
      </c>
      <c r="F5" s="5">
        <v>0.04429425443749419</v>
      </c>
      <c r="G5" s="5">
        <v>0.04043540354999535</v>
      </c>
      <c r="H5" s="5">
        <v>0.036576552662496514</v>
      </c>
      <c r="I5" s="5">
        <v>0.03271770177499768</v>
      </c>
      <c r="J5" s="5">
        <v>0.02885885088749884</v>
      </c>
      <c r="K5" s="5">
        <v>0.025</v>
      </c>
    </row>
    <row r="6" spans="1:11" x14ac:dyDescent="0.25">
      <c r="A6" t="s">
        <v>50</v>
      </c>
      <c r="B6" s="18">
        <f>Assumptions!B29*(1+B5)</f>
        <v>5493001550</v>
      </c>
      <c r="C6" s="18">
        <f>B6*(1+C5)</f>
        <v>5799899980</v>
      </c>
      <c r="D6" s="18">
        <f>C6*(1+D5)</f>
        <v>6101564123.796593</v>
      </c>
      <c r="E6" s="18">
        <f>D6*(1+E5)</f>
        <v>6395373383.696969</v>
      </c>
      <c r="F6" s="18">
        <f>E6*(1+F5)</f>
        <v>6678651679.577221</v>
      </c>
      <c r="G6" s="18">
        <f>F6*(1+G5)</f>
        <v>6948705655.410781</v>
      </c>
      <c r="H6" s="18">
        <f>G6*(1+H5)</f>
        <v>7202865353.752101</v>
      </c>
      <c r="I6" s="18">
        <f>H6*(1+I5)</f>
        <v>7438526554.321626</v>
      </c>
      <c r="J6" s="18">
        <f>I6*(1+J5)</f>
        <v>7653193882.975493</v>
      </c>
      <c r="K6" s="18">
        <f>J6*(1+K5)</f>
        <v>7844523730.04988</v>
      </c>
    </row>
    <row r="7" spans="1:11" x14ac:dyDescent="0.25">
      <c r="A7" t="s">
        <v>4</v>
      </c>
      <c r="B7" s="9">
        <f>Assumptions!B7</f>
        <v>0.17696582378991244</v>
      </c>
      <c r="C7" s="9">
        <f>Assumptions!B7</f>
        <v>0.17696582378991244</v>
      </c>
      <c r="D7" s="9">
        <f>Assumptions!B7</f>
        <v>0.17696582378991244</v>
      </c>
      <c r="E7" s="9">
        <f>Assumptions!B7</f>
        <v>0.17696582378991244</v>
      </c>
      <c r="F7" s="9">
        <f>Assumptions!B7</f>
        <v>0.17696582378991244</v>
      </c>
      <c r="G7" s="9">
        <f>Assumptions!B7</f>
        <v>0.17696582378991244</v>
      </c>
      <c r="H7" s="9">
        <f>Assumptions!B7</f>
        <v>0.17696582378991244</v>
      </c>
      <c r="I7" s="9">
        <f>Assumptions!B7</f>
        <v>0.17696582378991244</v>
      </c>
      <c r="J7" s="9">
        <f>Assumptions!B7</f>
        <v>0.17696582378991244</v>
      </c>
      <c r="K7" s="9">
        <f>Assumptions!B7</f>
        <v>0.17696582378991244</v>
      </c>
    </row>
    <row r="8" spans="1:11" x14ac:dyDescent="0.25">
      <c r="A8" t="s">
        <v>51</v>
      </c>
      <c r="B8" s="18">
        <f>B6*B7</f>
        <v>972073544.3750159</v>
      </c>
      <c r="C8" s="18">
        <f>C6*C7</f>
        <v>1026384077.8597966</v>
      </c>
      <c r="D8" s="18">
        <f>D6*D7</f>
        <v>1079768321.5746393</v>
      </c>
      <c r="E8" s="18">
        <f>E6*E7</f>
        <v>1131762519.2900138</v>
      </c>
      <c r="F8" s="18">
        <f>F6*F7</f>
        <v>1181893096.2822652</v>
      </c>
      <c r="G8" s="18">
        <f>G6*G7</f>
        <v>1229683420.5833921</v>
      </c>
      <c r="H8" s="18">
        <f>H6*H7</f>
        <v>1274661000.9745595</v>
      </c>
      <c r="I8" s="18">
        <f>I6*I7</f>
        <v>1316364979.4686654</v>
      </c>
      <c r="J8" s="18">
        <f>J6*J7</f>
        <v>1354353760.124677</v>
      </c>
      <c r="K8" s="18">
        <f>K6*K7</f>
        <v>1388212604.1277938</v>
      </c>
    </row>
    <row r="9" spans="1:11" x14ac:dyDescent="0.25">
      <c r="A9" t="s">
        <v>52</v>
      </c>
      <c r="B9" s="18">
        <f>B8*(1-Assumptions!B8)</f>
        <v>785255322.5007027</v>
      </c>
      <c r="C9" s="18">
        <f>C8*(1-Assumptions!B8)</f>
        <v>829128171.1483805</v>
      </c>
      <c r="D9" s="18">
        <f>D8*(1-Assumptions!B8)</f>
        <v>872252749.2806937</v>
      </c>
      <c r="E9" s="18">
        <f>E8*(1-Assumptions!B8)</f>
        <v>914254427.7868216</v>
      </c>
      <c r="F9" s="18">
        <f>F8*(1-Assumptions!B8)</f>
        <v>954750646.0318168</v>
      </c>
      <c r="G9" s="18">
        <f>G8*(1-Assumptions!B8)</f>
        <v>993356373.6937321</v>
      </c>
      <c r="H9" s="18">
        <f>H8*(1-Assumptions!B8)</f>
        <v>1029689925.4087676</v>
      </c>
      <c r="I9" s="18">
        <f>I8*(1-Assumptions!B8)</f>
        <v>1063379013.3090113</v>
      </c>
      <c r="J9" s="18">
        <f>J8*(1-Assumptions!B8)</f>
        <v>1094066909.6909916</v>
      </c>
      <c r="K9" s="18">
        <f>K8*(1-Assumptions!B8)</f>
        <v>1121418582.4332664</v>
      </c>
    </row>
    <row r="10" spans="1:11" x14ac:dyDescent="0.25">
      <c r="A10" t="s">
        <v>53</v>
      </c>
      <c r="B10" s="18">
        <f>B6*Assumptions!B9</f>
        <v>100564726.80210316</v>
      </c>
      <c r="C10" s="18">
        <f>C6*Assumptions!B9</f>
        <v>106183359.25432673</v>
      </c>
      <c r="D10" s="18">
        <f>D6*Assumptions!B9</f>
        <v>111706163.48635808</v>
      </c>
      <c r="E10" s="18">
        <f>E6*Assumptions!B9</f>
        <v>117085162.14216757</v>
      </c>
      <c r="F10" s="18">
        <f>F6*Assumptions!B9</f>
        <v>122271362.104948</v>
      </c>
      <c r="G10" s="18">
        <f>G6*Assumptions!B9</f>
        <v>127215453.9742692</v>
      </c>
      <c r="H10" s="18">
        <f>H6*Assumptions!B9</f>
        <v>131868556.72604246</v>
      </c>
      <c r="I10" s="18">
        <f>I6*Assumptions!B9</f>
        <v>136182992.8385045</v>
      </c>
      <c r="J10" s="18">
        <f>J6*Assumptions!B9</f>
        <v>140113077.52224422</v>
      </c>
      <c r="K10" s="18">
        <f>K6*Assumptions!B9</f>
        <v>143615904.4603003</v>
      </c>
    </row>
    <row r="11" spans="1:11" x14ac:dyDescent="0.25">
      <c r="A11" t="s">
        <v>54</v>
      </c>
      <c r="B11" s="18">
        <f>-B6*B19</f>
        <v>-171854907.87203005</v>
      </c>
      <c r="C11" s="18">
        <f>-C6*C19</f>
        <v>-178668494.59070903</v>
      </c>
      <c r="D11" s="18">
        <f>-D6*D19</f>
        <v>-185028293.02895427</v>
      </c>
      <c r="E11" s="18">
        <f>-E6*E19</f>
        <v>-190863642.58418363</v>
      </c>
      <c r="F11" s="18">
        <f>-F6*F19</f>
        <v>-196107292.52478373</v>
      </c>
      <c r="G11" s="18">
        <f>-G6*G19</f>
        <v>-200696638.84928063</v>
      </c>
      <c r="H11" s="18">
        <f>-H6*H19</f>
        <v>-204574921.04189545</v>
      </c>
      <c r="I11" s="18">
        <f>-I6*I19</f>
        <v>-207692347.9753016</v>
      </c>
      <c r="J11" s="18">
        <f>-J6*J19</f>
        <v>-210007122.8369116</v>
      </c>
      <c r="K11" s="18">
        <f>-K6*K19</f>
        <v>-211486338.57777354</v>
      </c>
    </row>
    <row r="12" spans="1:11" x14ac:dyDescent="0.25">
      <c r="A12" t="s">
        <v>55</v>
      </c>
      <c r="B12" s="18">
        <f>-(B6-Assumptions!B29)*Assumptions!B11</f>
        <v>-58010599.485670626</v>
      </c>
      <c r="C12" s="18">
        <f>-(C6-B6)*Assumptions!B11</f>
        <v>-59802718.21060765</v>
      </c>
      <c r="D12" s="18">
        <f>-(D6-C6)*Assumptions!B11</f>
        <v>-58782756.84144705</v>
      </c>
      <c r="E12" s="18">
        <f>-(E6-D6)*Assumptions!B11</f>
        <v>-57252141.62056609</v>
      </c>
      <c r="F12" s="18">
        <f>-(F6-E6)*Assumptions!B11</f>
        <v>-55200061.152831055</v>
      </c>
      <c r="G12" s="18">
        <f>-(G6-F6)*Assumptions!B11</f>
        <v>-52623149.02825875</v>
      </c>
      <c r="H12" s="18">
        <f>-(H6-G6)*Assumptions!B11</f>
        <v>-49525964.73171598</v>
      </c>
      <c r="I12" s="18">
        <f>-(I6-H6)*Assumptions!B11</f>
        <v>-45921317.9123555</v>
      </c>
      <c r="J12" s="18">
        <f>-(J6-I6)*Assumptions!B11</f>
        <v>-41830418.50201434</v>
      </c>
      <c r="K12" s="18">
        <f>-(K6-J6)*Assumptions!B11</f>
        <v>-37282839.56965239</v>
      </c>
    </row>
    <row r="13" spans="1:11" x14ac:dyDescent="0.25">
      <c r="A13" s="19" t="s">
        <v>56</v>
      </c>
      <c r="B13" s="20">
        <f>B9+B10+B11+B12</f>
        <v>655954541.9451053</v>
      </c>
      <c r="C13" s="20">
        <f>C9+C10+C11+C12</f>
        <v>696840317.6013905</v>
      </c>
      <c r="D13" s="20">
        <f>D9+D10+D11+D12</f>
        <v>740147862.8966504</v>
      </c>
      <c r="E13" s="20">
        <f>E9+E10+E11+E12</f>
        <v>783223805.7242393</v>
      </c>
      <c r="F13" s="20">
        <f>F9+F10+F11+F12</f>
        <v>825714654.45915</v>
      </c>
      <c r="G13" s="20">
        <f>G9+G10+G11+G12</f>
        <v>867252039.790462</v>
      </c>
      <c r="H13" s="20">
        <f>H9+H10+H11+H12</f>
        <v>907457596.3611987</v>
      </c>
      <c r="I13" s="20">
        <f>I9+I10+I11+I12</f>
        <v>945948340.2598586</v>
      </c>
      <c r="J13" s="20">
        <f>J9+J10+J11+J12</f>
        <v>982342445.87431</v>
      </c>
      <c r="K13" s="20">
        <f>K9+K10+K11+K12</f>
        <v>1016265308.7461406</v>
      </c>
    </row>
    <row r="14" spans="1:11" x14ac:dyDescent="0.25">
      <c r="A14" t="s">
        <v>57</v>
      </c>
      <c r="B14" s="21">
        <f>1/(1+Assumptions!$B$26)^(1-0.5*Assumptions!$B$32)</f>
        <v>0.95830257037804</v>
      </c>
      <c r="C14" s="21">
        <f>1/(1+Assumptions!$B$26)^(2-0.5*Assumptions!$B$32)</f>
        <v>0.8800512397403424</v>
      </c>
      <c r="D14" s="21">
        <f>1/(1+Assumptions!$B$26)^(3-0.5*Assumptions!$B$32)</f>
        <v>0.8081896141246764</v>
      </c>
      <c r="E14" s="21">
        <f>1/(1+Assumptions!$B$26)^(4-0.5*Assumptions!$B$32)</f>
        <v>0.7421959346045692</v>
      </c>
      <c r="F14" s="21">
        <f>1/(1+Assumptions!$B$26)^(5-0.5*Assumptions!$B$32)</f>
        <v>0.6815910470962472</v>
      </c>
      <c r="G14" s="21">
        <f>1/(1+Assumptions!$B$26)^(6-0.5*Assumptions!$B$32)</f>
        <v>0.6259349234097765</v>
      </c>
      <c r="H14" s="21">
        <f>1/(1+Assumptions!$B$26)^(7-0.5*Assumptions!$B$32)</f>
        <v>0.5748234663778934</v>
      </c>
      <c r="I14" s="21">
        <f>1/(1+Assumptions!$B$26)^(8-0.5*Assumptions!$B$32)</f>
        <v>0.527885575865819</v>
      </c>
      <c r="J14" s="21">
        <f>1/(1+Assumptions!$B$26)^(9-0.5*Assumptions!$B$32)</f>
        <v>0.4847804543595162</v>
      </c>
      <c r="K14" s="21">
        <f>1/(1+Assumptions!$B$26)^(10-0.5*Assumptions!$B$32)</f>
        <v>0.4451951325693274</v>
      </c>
    </row>
    <row r="15" spans="1:11" x14ac:dyDescent="0.25">
      <c r="A15" s="19" t="s">
        <v>58</v>
      </c>
      <c r="B15" s="20">
        <f>B13*B14</f>
        <v>628602923.5971442</v>
      </c>
      <c r="C15" s="20">
        <f>C13*C14</f>
        <v>613255185.4061576</v>
      </c>
      <c r="D15" s="20">
        <f>D13*D14</f>
        <v>598179815.7096478</v>
      </c>
      <c r="E15" s="20">
        <f>E13*E14</f>
        <v>581305524.4940494</v>
      </c>
      <c r="F15" s="20">
        <f>F13*F14</f>
        <v>562799715.9355279</v>
      </c>
      <c r="G15" s="20">
        <f>G13*G14</f>
        <v>542843339.1032153</v>
      </c>
      <c r="H15" s="20">
        <f>H13*H14</f>
        <v>521627921.13129544</v>
      </c>
      <c r="I15" s="20">
        <f>I13*I14</f>
        <v>499352484.33739114</v>
      </c>
      <c r="J15" s="20">
        <f>J13*J14</f>
        <v>476220417.2475865</v>
      </c>
      <c r="K15" s="20">
        <f>K13*K14</f>
        <v>452436368.8528465</v>
      </c>
    </row>
    <row r="17" spans="1:2" x14ac:dyDescent="0.25">
      <c r="A17" s="22" t="s">
        <v>59</v>
      </c>
      <c r="B17" s="23">
        <f>SUM(B15:K15)</f>
        <v>5476623695.814861</v>
      </c>
    </row>
    <row r="19" spans="1:11" x14ac:dyDescent="0.25">
      <c r="A19" t="s">
        <v>7</v>
      </c>
      <c r="B19" s="9">
        <f>Assumptions!$B$10+($B$20-Assumptions!$B$10)*0/9</f>
        <v>0.03128615681385163</v>
      </c>
      <c r="C19" s="9">
        <f>Assumptions!$B$10+($B$20-Assumptions!$B$10)*1/9</f>
        <v>0.03080544409503921</v>
      </c>
      <c r="D19" s="9">
        <f>Assumptions!$B$10+($B$20-Assumptions!$B$10)*2/9</f>
        <v>0.03032473137622679</v>
      </c>
      <c r="E19" s="9">
        <f>Assumptions!$B$10+($B$20-Assumptions!$B$10)*3/9</f>
        <v>0.029844018657414373</v>
      </c>
      <c r="F19" s="9">
        <f>Assumptions!$B$10+($B$20-Assumptions!$B$10)*4/9</f>
        <v>0.029363305938601956</v>
      </c>
      <c r="G19" s="9">
        <f>Assumptions!$B$10+($B$20-Assumptions!$B$10)*5/9</f>
        <v>0.028882593219789535</v>
      </c>
      <c r="H19" s="9">
        <f>Assumptions!$B$10+($B$20-Assumptions!$B$10)*6/9</f>
        <v>0.02840188050097712</v>
      </c>
      <c r="I19" s="9">
        <f>Assumptions!$B$10+($B$20-Assumptions!$B$10)*7/9</f>
        <v>0.0279211677821647</v>
      </c>
      <c r="J19" s="9">
        <f>Assumptions!$B$10+($B$20-Assumptions!$B$10)*8/9</f>
        <v>0.02744045506335228</v>
      </c>
      <c r="K19" s="9">
        <f>Assumptions!$B$10+($B$20-Assumptions!$B$10)*9/9</f>
        <v>0.026959742344539864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0.026959742344539864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1016265308.7461406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1121418582.4332664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0.06052194531163133</v>
      </c>
    </row>
    <row r="7" spans="1:2" x14ac:dyDescent="0.25">
      <c r="A7" t="s">
        <v>66</v>
      </c>
      <c r="B7" s="18">
        <f>-MAX(B5,0)*B6</f>
        <v>-67870434.11747329</v>
      </c>
    </row>
    <row r="8" spans="1:2" x14ac:dyDescent="0.25">
      <c r="A8" t="s">
        <v>67</v>
      </c>
      <c r="B8" s="18">
        <f>IF(OR(Assumptions!$B$33=0,Assumptions!B12&lt;=0),B5,MAX(B5+B7,0))</f>
        <v>1053548148.3157932</v>
      </c>
    </row>
    <row r="9" spans="1:2" x14ac:dyDescent="0.25">
      <c r="A9" t="s">
        <v>68</v>
      </c>
      <c r="B9" s="18">
        <f>B8*(1+Assumptions!B12)/(Assumptions!B26-Assumptions!B12)</f>
        <v>16895198651.632109</v>
      </c>
    </row>
    <row r="10" spans="1:2" x14ac:dyDescent="0.25">
      <c r="A10" t="s">
        <v>69</v>
      </c>
      <c r="B10" s="18">
        <f>B9/(1+Assumptions!B26)^(10-0.5*Assumptions!B32)</f>
        <v>7521660203.498478</v>
      </c>
    </row>
    <row r="11" spans="1:2" x14ac:dyDescent="0.25">
      <c r="A11" t="s">
        <v>70</v>
      </c>
      <c r="B11" s="18">
        <f>Forecast!B17+B10</f>
        <v>12998283899.31334</v>
      </c>
    </row>
    <row r="12" spans="1:2" x14ac:dyDescent="0.25">
      <c r="A12" t="s">
        <v>71</v>
      </c>
      <c r="B12" s="18">
        <f>-Assumptions!B30</f>
        <v>-1736000000</v>
      </c>
    </row>
    <row r="13" spans="1:2" x14ac:dyDescent="0.25">
      <c r="A13" t="s">
        <v>72</v>
      </c>
      <c r="B13" s="18">
        <f>B11+B12</f>
        <v>11262283899.31334</v>
      </c>
    </row>
    <row r="14" spans="1:2" x14ac:dyDescent="0.25">
      <c r="A14" s="19" t="s">
        <v>73</v>
      </c>
      <c r="B14" s="24">
        <f>B13/Assumptions!B31</f>
        <v>318.1436129749531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1531828508.588094</v>
      </c>
    </row>
    <row r="18" spans="1:2" x14ac:dyDescent="0.25">
      <c r="A18" t="s">
        <v>68</v>
      </c>
      <c r="B18" s="18">
        <f>B17*Assumptions!B13</f>
        <v>17748601394.50311</v>
      </c>
    </row>
    <row r="19" spans="1:2" x14ac:dyDescent="0.25">
      <c r="A19" t="s">
        <v>69</v>
      </c>
      <c r="B19" s="18">
        <f>B18/(1+Assumptions!B26)^(10-0.5*Assumptions!B32)</f>
        <v>7901590950.745961</v>
      </c>
    </row>
    <row r="20" spans="1:2" x14ac:dyDescent="0.25">
      <c r="A20" t="s">
        <v>70</v>
      </c>
      <c r="B20" s="18">
        <f>Forecast!B17+B19</f>
        <v>13378214646.560822</v>
      </c>
    </row>
    <row r="21" spans="1:2" x14ac:dyDescent="0.25">
      <c r="A21" t="s">
        <v>71</v>
      </c>
      <c r="B21" s="18">
        <f>-Assumptions!B30</f>
        <v>-1736000000</v>
      </c>
    </row>
    <row r="22" spans="1:2" x14ac:dyDescent="0.25">
      <c r="A22" t="s">
        <v>72</v>
      </c>
      <c r="B22" s="18">
        <f>B20+B21</f>
        <v>11642214646.560822</v>
      </c>
    </row>
    <row r="23" spans="1:2" x14ac:dyDescent="0.25">
      <c r="A23" s="19" t="s">
        <v>73</v>
      </c>
      <c r="B23" s="25">
        <f>B22/Assumptions!B31</f>
        <v>328.87611995934526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344.08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318.1436129749531</v>
      </c>
    </row>
    <row r="29" spans="1:2" x14ac:dyDescent="0.25">
      <c r="A29" s="19" t="s">
        <v>81</v>
      </c>
      <c r="B29" s="11">
        <f>B28/B26-1</f>
        <v>-0.07537894392306121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0.068917</v>
      </c>
      <c r="B5" s="31">
        <v>427.3648204088896</v>
      </c>
      <c r="C5" s="31">
        <v>454.8426979328673</v>
      </c>
      <c r="D5" s="31">
        <v>488.7863569942134</v>
      </c>
      <c r="E5" s="31">
        <v>531.6879404369434</v>
      </c>
      <c r="F5" s="31">
        <v>587.5091449241095</v>
      </c>
    </row>
    <row r="6" spans="1:6" x14ac:dyDescent="0.25">
      <c r="A6" s="30">
        <v>0.078917</v>
      </c>
      <c r="B6" s="31">
        <v>350.2873358454815</v>
      </c>
      <c r="C6" s="31">
        <v>367.25986836195995</v>
      </c>
      <c r="D6" s="31">
        <v>387.5412425520381</v>
      </c>
      <c r="E6" s="31">
        <v>412.146087790044</v>
      </c>
      <c r="F6" s="31">
        <v>442.5511002464564</v>
      </c>
    </row>
    <row r="7" spans="1:6" x14ac:dyDescent="0.25">
      <c r="A7" s="30">
        <v>0.088917</v>
      </c>
      <c r="B7" s="31">
        <v>294.27653437567307</v>
      </c>
      <c r="C7" s="31">
        <v>305.2841436720236</v>
      </c>
      <c r="D7" s="32">
        <v>318.1423810265571</v>
      </c>
      <c r="E7" s="31">
        <v>333.32240791851996</v>
      </c>
      <c r="F7" s="31">
        <v>351.4701587111266</v>
      </c>
    </row>
    <row r="8" spans="1:6" x14ac:dyDescent="0.25">
      <c r="A8" s="30">
        <v>0.098917</v>
      </c>
      <c r="B8" s="31">
        <v>251.78596746738077</v>
      </c>
      <c r="C8" s="31">
        <v>259.16733504095527</v>
      </c>
      <c r="D8" s="31">
        <v>267.6524932657137</v>
      </c>
      <c r="E8" s="31">
        <v>277.4816856195756</v>
      </c>
      <c r="F8" s="31">
        <v>288.97032915804317</v>
      </c>
    </row>
    <row r="9" spans="1:6" x14ac:dyDescent="0.25">
      <c r="A9" s="30">
        <v>0.108917</v>
      </c>
      <c r="B9" s="31">
        <v>218.4845387614442</v>
      </c>
      <c r="C9" s="31">
        <v>223.54769693419377</v>
      </c>
      <c r="D9" s="31">
        <v>229.30202270573375</v>
      </c>
      <c r="E9" s="31">
        <v>235.8788884544093</v>
      </c>
      <c r="F9" s="31">
        <v>243.44521247583637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5195300000</v>
      </c>
      <c r="C5" s="18">
        <v>5341300000</v>
      </c>
      <c r="D5" s="18">
        <v>4981900000</v>
      </c>
      <c r="E5" s="18">
        <v>4718400000</v>
      </c>
      <c r="F5" s="6" t="s">
        <v>91</v>
      </c>
    </row>
    <row r="6" spans="1:6" x14ac:dyDescent="0.25">
      <c r="A6" t="s">
        <v>51</v>
      </c>
      <c r="B6" s="18">
        <v>1053200000</v>
      </c>
      <c r="C6" s="18">
        <v>1046400000</v>
      </c>
      <c r="D6" s="18">
        <v>845300000</v>
      </c>
      <c r="E6" s="18">
        <v>658500000</v>
      </c>
      <c r="F6" s="6" t="s">
        <v>92</v>
      </c>
    </row>
    <row r="7" spans="1:6" x14ac:dyDescent="0.25">
      <c r="A7" t="s">
        <v>93</v>
      </c>
      <c r="B7" s="18">
        <v>112500000</v>
      </c>
      <c r="C7" s="18">
        <v>95100000</v>
      </c>
      <c r="D7" s="18">
        <v>86000000</v>
      </c>
      <c r="E7" s="18">
        <v>77900000</v>
      </c>
      <c r="F7" s="6" t="s">
        <v>94</v>
      </c>
    </row>
    <row r="8" spans="1:6" x14ac:dyDescent="0.25">
      <c r="A8" t="s">
        <v>95</v>
      </c>
      <c r="B8" s="18">
        <v>118800000</v>
      </c>
      <c r="C8" s="18">
        <v>163600000</v>
      </c>
      <c r="D8" s="18">
        <v>250200000</v>
      </c>
      <c r="E8" s="18">
        <v>101100000</v>
      </c>
      <c r="F8" s="6" t="s">
        <v>96</v>
      </c>
    </row>
    <row r="9" spans="1:6" x14ac:dyDescent="0.25">
      <c r="A9" t="s">
        <v>97</v>
      </c>
      <c r="B9" s="18">
        <v>212200000</v>
      </c>
      <c r="C9" s="18">
        <v>-37000000</v>
      </c>
      <c r="D9" s="18">
        <v>-7400000</v>
      </c>
      <c r="E9" s="18">
        <v>267900000</v>
      </c>
      <c r="F9" s="6" t="s">
        <v>98</v>
      </c>
    </row>
    <row r="10" spans="1:6" x14ac:dyDescent="0.25">
      <c r="A10" t="s">
        <v>99</v>
      </c>
      <c r="B10" s="18">
        <v>1770700000</v>
      </c>
      <c r="C10" s="18">
        <v>1488600000</v>
      </c>
      <c r="D10" s="18">
        <v>1527300000</v>
      </c>
      <c r="E10" s="18">
        <v>1749900000</v>
      </c>
      <c r="F10" s="6" t="s">
        <v>100</v>
      </c>
    </row>
    <row r="11" spans="1:6" x14ac:dyDescent="0.25">
      <c r="A11" t="s">
        <v>101</v>
      </c>
      <c r="B11" s="18">
        <v>34700000</v>
      </c>
      <c r="C11" s="18">
        <v>422300000</v>
      </c>
      <c r="D11" s="18">
        <v>69100000</v>
      </c>
      <c r="E11" s="18">
        <v>61100000</v>
      </c>
      <c r="F11" s="6" t="s">
        <v>102</v>
      </c>
    </row>
    <row r="12" spans="1:6" x14ac:dyDescent="0.25">
      <c r="A12" t="s">
        <v>34</v>
      </c>
      <c r="B12" s="34">
        <v>35400000</v>
      </c>
      <c r="C12" s="34">
        <v>35800000</v>
      </c>
      <c r="D12" s="34">
        <v>35700000</v>
      </c>
      <c r="E12" s="34">
        <v>35800000</v>
      </c>
      <c r="F12" s="6" t="s">
        <v>103</v>
      </c>
    </row>
    <row r="15" spans="1:1" x14ac:dyDescent="0.25">
      <c r="A15" s="19" t="s">
        <v>104</v>
      </c>
    </row>
    <row r="16" ht="54" customHeight="1" spans="1:6" x14ac:dyDescent="0.25">
      <c r="A16" s="35" t="s">
        <v>105</v>
      </c>
      <c r="B16" s="35"/>
      <c r="C16" s="35"/>
      <c r="D16" s="35"/>
      <c r="E16" s="35"/>
      <c r="F16" s="35"/>
    </row>
    <row r="18" spans="1:1" x14ac:dyDescent="0.25">
      <c r="A18" s="36" t="s">
        <v>106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