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<sst xmlns="http://schemas.openxmlformats.org/spreadsheetml/2006/main" count="112" uniqueCount="100">
  <si>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Lennox International Inc. (LII)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</si>
  <si>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</si>
  <si>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</si>
  <si>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</si>
  <si>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</si>
  <si>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</si>
  <si>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</si>
  <si>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</si>
  <si>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</si>
  <si>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</si>
  <si>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</si>
  <si>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</si>
  <si>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</si>
  <si>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</si>
  <si>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</si>
  <si>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</si>
  <si>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</si>
  <si>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</si>
  <si>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</si>
  <si>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</si>
  <si>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</si>
  <si>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</si>
  <si>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</si>
  <si>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</si>
  <si>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</si>
  <si>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</si>
  <si>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</si>
  <si>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</si>
  <si>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</si>
  <si>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</si>
  <si>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</si>
  <si>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</si>
  <si>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</si>
  <si>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</si>
  <si>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</si>
  <si>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</si>
  <si>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</si>
  <si>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</si>
  <si>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</si>
  <si>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</si>
  <si>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</si>
  <si>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</si>
  <si>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</si>
  <si>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</si>
  <si>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</si>
  <si>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</si>
  <si>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</si>
  <si>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</si>
  <si>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</si>
  <si>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</si>
  <si>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</si>
  <si>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</si>
  <si>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</si>
  <si>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</si>
  <si>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</si>
  <si>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</si>
  <si>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</si>
  <si>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</si>
  <si>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</si>
  <si>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</si>
  <si>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</si>
  <si>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</si>
  <si>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</si>
  <si>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</si>
  <si>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</si>
  <si>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</si>
  <si>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</si>
  <si>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</si>
  <si>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</si>
  <si>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</si>
  <si>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</si>
  <si>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</si>
  <si>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</si>
  <si>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</si>
  <si>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</si>
  <si>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</si>
  <si>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</si>
  <si>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</si>
  <si>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</si>
  <si>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</si>
  <si>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</si>
  <si>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</si>
  <si>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</si>
  <si>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</si>
  <si>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</si>
  <si>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</si>
  <si>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</si>
  <si>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</si>
  <si>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</si>
  <si>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</si>
  <si>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</si>
  <si>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</si>
  <si>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</si>
  <si>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</si>
  <si>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</si>
  <si>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</si>
  <si>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</si>
  <si>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</si>
  <si>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3.1% of revenue against depreciation of 1.8%.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</si>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</sst>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0.032615465451786285</v>
      </c>
    </row>
    <row r="7" spans="1:2" x14ac:dyDescent="0.25">
      <c r="A7" t="s">
        <v>5</v>
      </c>
      <c r="B7" s="6">
        <v>0.17696582378991244</v>
      </c>
    </row>
    <row r="8" spans="1:2" x14ac:dyDescent="0.25">
      <c r="A8" t="s">
        <v>6</v>
      </c>
      <c r="B8" s="6">
        <v>0.19218527544068267</v>
      </c>
    </row>
    <row r="9" spans="1:2" x14ac:dyDescent="0.25">
      <c r="A9" t="s">
        <v>7</v>
      </c>
      <c r="B9" s="6">
        <v>0.018307791448211617</v>
      </c>
    </row>
    <row r="10" spans="1:2" x14ac:dyDescent="0.25">
      <c r="A10" t="s">
        <v>8</v>
      </c>
      <c r="B10" s="6">
        <v>0.03128615681385163</v>
      </c>
    </row>
    <row r="11" spans="1:2" x14ac:dyDescent="0.25">
      <c r="A11" t="s">
        <v>9</v>
      </c>
      <c r="B11" s="6">
        <v>-0.10294936004451864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12.139686025564039</v>
      </c>
    </row>
    <row r="14" spans="1:3" x14ac:dyDescent="0.25">
      <c r="A14" t="s">
        <v>12</v>
      </c>
      <c r="B14" s="6">
        <v>0.41307330541464615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1.1232799999999998</v>
      </c>
      <c r="C19" s="8" t="s">
        <v>19</v>
      </c>
    </row>
    <row r="20" spans="1:2" x14ac:dyDescent="0.25">
      <c r="A20" t="s">
        <v>20</v>
      </c>
      <c r="B20" s="10">
        <f>B17+B19*B18</f>
        <v>0.1117604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12415232000</v>
      </c>
    </row>
    <row r="23" spans="1:2" x14ac:dyDescent="0.25">
      <c r="A23" t="s">
        <v>24</v>
      </c>
      <c r="B23" s="11">
        <v>1770700000</v>
      </c>
    </row>
    <row r="24" spans="1:2" x14ac:dyDescent="0.25">
      <c r="A24" t="s">
        <v>25</v>
      </c>
      <c r="B24" s="10">
        <f>B22/(B22+B23)</f>
        <v>0.8751791563642064</v>
      </c>
    </row>
    <row r="25" spans="1:2" x14ac:dyDescent="0.25">
      <c r="A25" t="s">
        <v>26</v>
      </c>
      <c r="B25" s="10">
        <f>1-B24</f>
        <v>0.1248208436357936</v>
      </c>
    </row>
    <row r="26" spans="1:2" x14ac:dyDescent="0.25">
      <c r="A26" t="s">
        <v>27</v>
      </c>
      <c r="B26" s="12">
        <f>B24*B20+B25*B21*(1-B8)</f>
        <v>0.10284996171566334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5195300000</v>
      </c>
      <c r="C29" s="8" t="s">
        <v>30</v>
      </c>
    </row>
    <row r="30" spans="1:2" x14ac:dyDescent="0.25">
      <c r="A30" t="s">
        <v>31</v>
      </c>
      <c r="B30" s="11">
        <v>1736000000</v>
      </c>
    </row>
    <row r="31" spans="1:2" x14ac:dyDescent="0.25">
      <c r="A31" t="s">
        <v>32</v>
      </c>
      <c r="B31" s="13">
        <v>35400000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0.032615465451786285</v>
      </c>
      <c r="C5" s="10">
        <f>Assumptions!B6</f>
        <v>0.032615465451786285</v>
      </c>
      <c r="D5" s="10">
        <f>Assumptions!B6</f>
        <v>0.032615465451786285</v>
      </c>
      <c r="E5" s="10">
        <f>Assumptions!B6</f>
        <v>0.032615465451786285</v>
      </c>
      <c r="F5" s="10">
        <f>Assumptions!B6</f>
        <v>0.032615465451786285</v>
      </c>
    </row>
    <row r="6" spans="1:6" x14ac:dyDescent="0.25">
      <c r="A6" t="s">
        <v>43</v>
      </c>
      <c r="B6" s="18">
        <f>Assumptions!B29*(1+B5)</f>
        <v>5364747127.661665</v>
      </c>
      <c r="C6" s="18">
        <f>B6*(1+C5)</f>
        <v>5539720852.261484</v>
      </c>
      <c r="D6" s="18">
        <f>C6*(1+D5)</f>
        <v>5720401426.330958</v>
      </c>
      <c r="E6" s="18">
        <f>D6*(1+E5)</f>
        <v>5906974981.421804</v>
      </c>
      <c r="F6" s="18">
        <f>E6*(1+F5)</f>
        <v>6099633719.852933</v>
      </c>
    </row>
    <row r="7" spans="1:6" x14ac:dyDescent="0.25">
      <c r="A7" t="s">
        <v>5</v>
      </c>
      <c r="B7" s="10">
        <f>Assumptions!B7</f>
        <v>0.17696582378991244</v>
      </c>
      <c r="C7" s="10">
        <f>Assumptions!B7</f>
        <v>0.17696582378991244</v>
      </c>
      <c r="D7" s="10">
        <f>Assumptions!B7</f>
        <v>0.17696582378991244</v>
      </c>
      <c r="E7" s="10">
        <f>Assumptions!B7</f>
        <v>0.17696582378991244</v>
      </c>
      <c r="F7" s="10">
        <f>Assumptions!B7</f>
        <v>0.17696582378991244</v>
      </c>
    </row>
    <row r="8" spans="1:6" x14ac:dyDescent="0.25">
      <c r="A8" t="s">
        <v>44</v>
      </c>
      <c r="B8" s="18">
        <f>B6*B7</f>
        <v>949376894.8712131</v>
      </c>
      <c r="C8" s="18">
        <f>C6*C7</f>
        <v>980341264.1866094</v>
      </c>
      <c r="D8" s="18">
        <f>D6*D7</f>
        <v>1012315550.8196481</v>
      </c>
      <c r="E8" s="18">
        <f>E6*E7</f>
        <v>1045332693.6937124</v>
      </c>
      <c r="F8" s="18">
        <f>F6*F7</f>
        <v>1079426706.0505023</v>
      </c>
    </row>
    <row r="9" spans="1:6" x14ac:dyDescent="0.25">
      <c r="A9" t="s">
        <v>45</v>
      </c>
      <c r="B9" s="18">
        <f>B8*(1-Assumptions!B8)</f>
        <v>766920634.833369</v>
      </c>
      <c r="C9" s="18">
        <f>C8*(1-Assumptions!B8)</f>
        <v>791934108.3030388</v>
      </c>
      <c r="D9" s="18">
        <f>D8*(1-Assumptions!B8)</f>
        <v>817763407.8524877</v>
      </c>
      <c r="E9" s="18">
        <f>E8*(1-Assumptions!B8)</f>
        <v>844435142.0290354</v>
      </c>
      <c r="F9" s="18">
        <f>F8*(1-Assumptions!B8)</f>
        <v>871976787.2301577</v>
      </c>
    </row>
    <row r="10" spans="1:6" x14ac:dyDescent="0.25">
      <c r="A10" t="s">
        <v>46</v>
      </c>
      <c r="B10" s="18">
        <f>B6*Assumptions!B9</f>
        <v>98216671.58562207</v>
      </c>
      <c r="C10" s="18">
        <f>C6*Assumptions!B9</f>
        <v>101420054.04451238</v>
      </c>
      <c r="D10" s="18">
        <f>D6*Assumptions!B9</f>
        <v>104727916.31331946</v>
      </c>
      <c r="E10" s="18">
        <f>E6*Assumptions!B9</f>
        <v>108143666.0496741</v>
      </c>
      <c r="F10" s="18">
        <f>F6*Assumptions!B9</f>
        <v>111670822.05354674</v>
      </c>
    </row>
    <row r="11" spans="1:6" x14ac:dyDescent="0.25">
      <c r="A11" t="s">
        <v>47</v>
      </c>
      <c r="B11" s="18">
        <f>-B6*Assumptions!B10</f>
        <v>-167842319.90268296</v>
      </c>
      <c r="C11" s="18">
        <f>-C6*Assumptions!B10</f>
        <v>-173316575.28881657</v>
      </c>
      <c r="D11" s="18">
        <f>-D6*Assumptions!B10</f>
        <v>-178969376.0623709</v>
      </c>
      <c r="E11" s="18">
        <f>-E6*Assumptions!B10</f>
        <v>-184806545.56426087</v>
      </c>
      <c r="F11" s="18">
        <f>-F6*Assumptions!B10</f>
        <v>-190834097.066376</v>
      </c>
    </row>
    <row r="12" spans="1:6" x14ac:dyDescent="0.25">
      <c r="A12" t="s">
        <v>48</v>
      </c>
      <c r="B12" s="18">
        <f>-(B6-Assumptions!B29)*Assumptions!B11</f>
        <v>17444473.35415026</v>
      </c>
      <c r="C12" s="18">
        <f>-(C6-B6)*Assumptions!B11</f>
        <v>18013432.972157232</v>
      </c>
      <c r="D12" s="18">
        <f>-(D6-C6)*Assumptions!B11</f>
        <v>18600949.47292862</v>
      </c>
      <c r="E12" s="18">
        <f>-(E6-D6)*Assumptions!B11</f>
        <v>19207628.097833347</v>
      </c>
      <c r="F12" s="18">
        <f>-(F6-E6)*Assumptions!B11</f>
        <v>19834093.82846899</v>
      </c>
    </row>
    <row r="13" spans="1:6" x14ac:dyDescent="0.25">
      <c r="A13" s="19" t="s">
        <v>49</v>
      </c>
      <c r="B13" s="20">
        <f>B9+B10+B11+B12</f>
        <v>714739459.8704584</v>
      </c>
      <c r="C13" s="20">
        <f>C9+C10+C11+C12</f>
        <v>738051020.0308919</v>
      </c>
      <c r="D13" s="20">
        <f>D9+D10+D11+D12</f>
        <v>762122897.5763649</v>
      </c>
      <c r="E13" s="20">
        <f>E9+E10+E11+E12</f>
        <v>786979890.6122822</v>
      </c>
      <c r="F13" s="20">
        <f>F9+F10+F11+F12</f>
        <v>812647606.0457976</v>
      </c>
    </row>
    <row r="14" spans="1:6" x14ac:dyDescent="0.25">
      <c r="A14" t="s">
        <v>50</v>
      </c>
      <c r="B14" s="21">
        <f>1/(1+Assumptions!$B$26)^(1-0.5*Assumptions!$B$32)</f>
        <v>0.9522298333127773</v>
      </c>
      <c r="C14" s="21">
        <f>1/(1+Assumptions!$B$26)^(2-0.5*Assumptions!$B$32)</f>
        <v>0.8634264554277431</v>
      </c>
      <c r="D14" s="21">
        <f>1/(1+Assumptions!$B$26)^(3-0.5*Assumptions!$B$32)</f>
        <v>0.7829047335546372</v>
      </c>
      <c r="E14" s="21">
        <f>1/(1+Assumptions!$B$26)^(4-0.5*Assumptions!$B$32)</f>
        <v>0.7098923341636617</v>
      </c>
      <c r="F14" s="21">
        <f>1/(1+Assumptions!$B$26)^(5-0.5*Assumptions!$B$32)</f>
        <v>0.6436889502714478</v>
      </c>
    </row>
    <row r="15" spans="1:6" x14ac:dyDescent="0.25">
      <c r="A15" s="19" t="s">
        <v>51</v>
      </c>
      <c r="B15" s="20">
        <f>B13*B14</f>
        <v>680596236.734511</v>
      </c>
      <c r="C15" s="20">
        <f>C13*C14</f>
        <v>637252776.1501032</v>
      </c>
      <c r="D15" s="20">
        <f>D13*D14</f>
        <v>596669624.062912</v>
      </c>
      <c r="E15" s="20">
        <f>E13*E14</f>
        <v>558670991.4866161</v>
      </c>
      <c r="F15" s="20">
        <f>F13*F14</f>
        <v>523092284.4762245</v>
      </c>
    </row>
    <row r="17" spans="1:2" x14ac:dyDescent="0.25">
      <c r="A17" s="22" t="s">
        <v>52</v>
      </c>
      <c r="B17" s="23">
        <f>SUM(B15:F15)</f>
        <v>2996281912.9103665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812647606.0457976</v>
      </c>
    </row>
    <row r="5" spans="1:2" x14ac:dyDescent="0.25">
      <c r="A5" t="s">
        <v>56</v>
      </c>
      <c r="B5" s="18">
        <f>IF(Assumptions!$B$33=0,B4,B4-Forecast!F11-Forecast!F10-Forecast!F12)</f>
        <v>871976787.2301577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0.06052194531163133</v>
      </c>
    </row>
    <row r="7" spans="1:2" x14ac:dyDescent="0.25">
      <c r="A7" t="s">
        <v>58</v>
      </c>
      <c r="B7" s="18">
        <f>-MAX(Forecast!F9,0)*B6</f>
        <v>-52773731.4297556</v>
      </c>
    </row>
    <row r="8" spans="1:2" x14ac:dyDescent="0.25">
      <c r="A8" t="s">
        <v>59</v>
      </c>
      <c r="B8" s="18">
        <f>IF(OR(Assumptions!$B$33=0,Assumptions!B12&lt;=0),B5,MAX(B5+B7,0))</f>
        <v>819203055.8004022</v>
      </c>
    </row>
    <row r="9" spans="1:2" x14ac:dyDescent="0.25">
      <c r="A9" t="s">
        <v>60</v>
      </c>
      <c r="B9" s="18">
        <f>B8*(1+Assumptions!B12)/(Assumptions!B26-Assumptions!B12)</f>
        <v>10785915801.246552</v>
      </c>
    </row>
    <row r="10" spans="1:2" x14ac:dyDescent="0.25">
      <c r="A10" t="s">
        <v>61</v>
      </c>
      <c r="B10" s="18">
        <f>B9/(1+Assumptions!B26)^(5-0.5*Assumptions!B32)</f>
        <v>6942774819.820615</v>
      </c>
    </row>
    <row r="11" spans="1:2" x14ac:dyDescent="0.25">
      <c r="A11" t="s">
        <v>62</v>
      </c>
      <c r="B11" s="18">
        <f>Forecast!B17+B10</f>
        <v>9939056732.730982</v>
      </c>
    </row>
    <row r="12" spans="1:2" x14ac:dyDescent="0.25">
      <c r="A12" t="s">
        <v>63</v>
      </c>
      <c r="B12" s="18">
        <f>-Assumptions!B30</f>
        <v>-1736000000</v>
      </c>
    </row>
    <row r="13" spans="1:2" x14ac:dyDescent="0.25">
      <c r="A13" t="s">
        <v>64</v>
      </c>
      <c r="B13" s="18">
        <f>B11+B12</f>
        <v>8203056732.730982</v>
      </c>
    </row>
    <row r="14" spans="1:2" x14ac:dyDescent="0.25">
      <c r="A14" s="19" t="s">
        <v>65</v>
      </c>
      <c r="B14" s="24">
        <f>B13/Assumptions!B31</f>
        <v>231.72476646132716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1191097528.104049</v>
      </c>
    </row>
    <row r="18" spans="1:2" x14ac:dyDescent="0.25">
      <c r="A18" t="s">
        <v>60</v>
      </c>
      <c r="B18" s="18">
        <f>B17*Assumptions!B13</f>
        <v>14459550017.008593</v>
      </c>
    </row>
    <row r="19" spans="1:2" x14ac:dyDescent="0.25">
      <c r="A19" t="s">
        <v>61</v>
      </c>
      <c r="B19" s="18">
        <f>B18/(1+Assumptions!B26)^(5-0.5*Assumptions!B32)</f>
        <v>9307452571.845757</v>
      </c>
    </row>
    <row r="20" spans="1:2" x14ac:dyDescent="0.25">
      <c r="A20" t="s">
        <v>62</v>
      </c>
      <c r="B20" s="18">
        <f>Forecast!B17+B19</f>
        <v>12303734484.756123</v>
      </c>
    </row>
    <row r="21" spans="1:2" x14ac:dyDescent="0.25">
      <c r="A21" t="s">
        <v>63</v>
      </c>
      <c r="B21" s="18">
        <f>-Assumptions!B30</f>
        <v>-1736000000</v>
      </c>
    </row>
    <row r="22" spans="1:2" x14ac:dyDescent="0.25">
      <c r="A22" t="s">
        <v>64</v>
      </c>
      <c r="B22" s="18">
        <f>B20+B21</f>
        <v>10567734484.756123</v>
      </c>
    </row>
    <row r="23" spans="1:2" x14ac:dyDescent="0.25">
      <c r="A23" s="19" t="s">
        <v>65</v>
      </c>
      <c r="B23" s="25">
        <f>B22/Assumptions!B31</f>
        <v>298.5235730157097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359.23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231.72476646132716</v>
      </c>
    </row>
    <row r="29" spans="1:2" x14ac:dyDescent="0.25">
      <c r="A29" s="19" t="s">
        <v>73</v>
      </c>
      <c r="B29" s="12">
        <f>B28/B26-1</f>
        <v>-0.3549403823140407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0.08285</v>
      </c>
      <c r="B5" s="31">
        <v>287.57738267168065</v>
      </c>
      <c r="C5" s="31">
        <v>305.26041085317445</v>
      </c>
      <c r="D5" s="31">
        <v>325.9641189370816</v>
      </c>
      <c r="E5" s="31">
        <v>350.54584275190166</v>
      </c>
      <c r="F5" s="31">
        <v>380.2212612101466</v>
      </c>
    </row>
    <row r="6" spans="1:6" x14ac:dyDescent="0.25">
      <c r="A6" s="30">
        <v>0.09285</v>
      </c>
      <c r="B6" s="31">
        <v>245.00420772142124</v>
      </c>
      <c r="C6" s="31">
        <v>257.54223145422407</v>
      </c>
      <c r="D6" s="31">
        <v>271.89868900367554</v>
      </c>
      <c r="E6" s="31">
        <v>288.5075741207658</v>
      </c>
      <c r="F6" s="31">
        <v>307.9529216112785</v>
      </c>
    </row>
    <row r="7" spans="1:6" x14ac:dyDescent="0.25">
      <c r="A7" s="30">
        <v>0.10285</v>
      </c>
      <c r="B7" s="31">
        <v>212.13903364322414</v>
      </c>
      <c r="C7" s="31">
        <v>221.35241967702694</v>
      </c>
      <c r="D7" s="32">
        <v>231.72463241690545</v>
      </c>
      <c r="E7" s="31">
        <v>243.4942772244404</v>
      </c>
      <c r="F7" s="31">
        <v>256.9702926554878</v>
      </c>
    </row>
    <row r="8" spans="1:6" x14ac:dyDescent="0.25">
      <c r="A8" s="30">
        <v>0.11285</v>
      </c>
      <c r="B8" s="31">
        <v>186.00456334894238</v>
      </c>
      <c r="C8" s="31">
        <v>192.96553984428567</v>
      </c>
      <c r="D8" s="31">
        <v>200.69791029069643</v>
      </c>
      <c r="E8" s="31">
        <v>209.3413356328459</v>
      </c>
      <c r="F8" s="31">
        <v>219.07135631307295</v>
      </c>
    </row>
    <row r="9" spans="1:6" x14ac:dyDescent="0.25">
      <c r="A9" s="30">
        <v>0.12285</v>
      </c>
      <c r="B9" s="31">
        <v>164.7277886129967</v>
      </c>
      <c r="C9" s="31">
        <v>170.10507271287466</v>
      </c>
      <c r="D9" s="31">
        <v>176.0138105227819</v>
      </c>
      <c r="E9" s="31">
        <v>182.53985886178637</v>
      </c>
      <c r="F9" s="31">
        <v>189.7886207798192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5195300000</v>
      </c>
      <c r="C5" s="18">
        <v>5341300000</v>
      </c>
      <c r="D5" s="18">
        <v>4981900000</v>
      </c>
      <c r="E5" s="18">
        <v>4718400000</v>
      </c>
      <c r="F5" s="8" t="s">
        <v>84</v>
      </c>
    </row>
    <row r="6" spans="1:6" x14ac:dyDescent="0.25">
      <c r="A6" t="s">
        <v>44</v>
      </c>
      <c r="B6" s="18">
        <v>1053200000</v>
      </c>
      <c r="C6" s="18">
        <v>1046400000</v>
      </c>
      <c r="D6" s="18">
        <v>845300000</v>
      </c>
      <c r="E6" s="18">
        <v>658500000</v>
      </c>
      <c r="F6" s="8" t="s">
        <v>85</v>
      </c>
    </row>
    <row r="7" spans="1:6" x14ac:dyDescent="0.25">
      <c r="A7" t="s">
        <v>86</v>
      </c>
      <c r="B7" s="18">
        <v>112500000</v>
      </c>
      <c r="C7" s="18">
        <v>95100000</v>
      </c>
      <c r="D7" s="18">
        <v>86000000</v>
      </c>
      <c r="E7" s="18">
        <v>77900000</v>
      </c>
      <c r="F7" s="8" t="s">
        <v>87</v>
      </c>
    </row>
    <row r="8" spans="1:6" x14ac:dyDescent="0.25">
      <c r="A8" t="s">
        <v>88</v>
      </c>
      <c r="B8" s="18">
        <v>118800000</v>
      </c>
      <c r="C8" s="18">
        <v>163600000</v>
      </c>
      <c r="D8" s="18">
        <v>250200000</v>
      </c>
      <c r="E8" s="18">
        <v>101100000</v>
      </c>
      <c r="F8" s="8" t="s">
        <v>89</v>
      </c>
    </row>
    <row r="9" spans="1:6" x14ac:dyDescent="0.25">
      <c r="A9" t="s">
        <v>90</v>
      </c>
      <c r="B9" s="18">
        <v>212200000</v>
      </c>
      <c r="C9" s="18">
        <v>-37000000</v>
      </c>
      <c r="D9" s="18">
        <v>-7400000</v>
      </c>
      <c r="E9" s="18">
        <v>267900000</v>
      </c>
      <c r="F9" s="8" t="s">
        <v>91</v>
      </c>
    </row>
    <row r="10" spans="1:6" x14ac:dyDescent="0.25">
      <c r="A10" t="s">
        <v>92</v>
      </c>
      <c r="B10" s="18">
        <v>1770700000</v>
      </c>
      <c r="C10" s="18">
        <v>1488600000</v>
      </c>
      <c r="D10" s="18">
        <v>1527300000</v>
      </c>
      <c r="E10" s="18">
        <v>1749900000</v>
      </c>
      <c r="F10" s="8" t="s">
        <v>93</v>
      </c>
    </row>
    <row r="11" spans="1:6" x14ac:dyDescent="0.25">
      <c r="A11" t="s">
        <v>94</v>
      </c>
      <c r="B11" s="18">
        <v>34700000</v>
      </c>
      <c r="C11" s="18">
        <v>422300000</v>
      </c>
      <c r="D11" s="18">
        <v>69100000</v>
      </c>
      <c r="E11" s="18">
        <v>61100000</v>
      </c>
      <c r="F11" s="8" t="s">
        <v>95</v>
      </c>
    </row>
    <row r="12" spans="1:6" x14ac:dyDescent="0.25">
      <c r="A12" t="s">
        <v>32</v>
      </c>
      <c r="B12" s="34">
        <v>35400000</v>
      </c>
      <c r="C12" s="34">
        <v>35800000</v>
      </c>
      <c r="D12" s="34">
        <v>35700000</v>
      </c>
      <c r="E12" s="34">
        <v>35800000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2026-09-19T00:06:24Z</dcterms:modified>
</cp:coreProperties>
</file>