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<sst xmlns="http://schemas.openxmlformats.org/spreadsheetml/2006/main" count="119" uniqueCount="106">
  <si>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Linde plc (LIN)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</si>
  <si>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</si>
  <si>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</si>
  <si>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</si>
  <si>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</si>
  <si>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</si>
  <si>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</si>
  <si>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</si>
  <si>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</si>
  <si>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</si>
  <si>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</si>
  <si>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</si>
  <si>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</si>
  <si>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</si>
  <si>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</si>
  <si>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</si>
  <si>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</si>
  <si>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</si>
  <si>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</si>
  <si>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</si>
  <si>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</si>
  <si>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</si>
  <si>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</si>
  <si>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</si>
  <si>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19.9x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</si>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</sst>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0.07111483493203075</v>
      </c>
    </row>
    <row r="7" spans="1:2" x14ac:dyDescent="0.25">
      <c r="A7" t="s">
        <v>4</v>
      </c>
      <c r="B7" s="5">
        <v>0.2432557640300713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0.11685112013398255</v>
      </c>
    </row>
    <row r="10" spans="1:3" x14ac:dyDescent="0.25">
      <c r="A10" t="s">
        <v>7</v>
      </c>
      <c r="B10" s="5">
        <v>0.12535529273495546</v>
      </c>
      <c r="C10" s="6" t="s">
        <v>8</v>
      </c>
    </row>
    <row r="11" spans="1:2" x14ac:dyDescent="0.25">
      <c r="A11" t="s">
        <v>9</v>
      </c>
      <c r="B11" s="5">
        <v>0.11955044535727503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19.90414343335638</v>
      </c>
    </row>
    <row r="14" spans="1:3" x14ac:dyDescent="0.25">
      <c r="A14" t="s">
        <v>12</v>
      </c>
      <c r="B14" s="5">
        <v>0.11021101397379923</v>
      </c>
      <c r="C14" s="6" t="s">
        <v>13</v>
      </c>
    </row>
    <row r="15" spans="1:3" x14ac:dyDescent="0.25">
      <c r="A15" t="s">
        <v>14</v>
      </c>
      <c r="B15" s="5">
        <v>0.1003880030488008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0.8077099999999999</v>
      </c>
      <c r="C19" s="6" t="s">
        <v>21</v>
      </c>
    </row>
    <row r="20" spans="1:2" x14ac:dyDescent="0.25">
      <c r="A20" t="s">
        <v>22</v>
      </c>
      <c r="B20" s="9">
        <f>B17+B19*B18</f>
        <v>0.083106133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236079235072</v>
      </c>
    </row>
    <row r="23" spans="1:2" x14ac:dyDescent="0.25">
      <c r="A23" t="s">
        <v>26</v>
      </c>
      <c r="B23" s="10">
        <v>28069000000</v>
      </c>
    </row>
    <row r="24" spans="1:2" x14ac:dyDescent="0.25">
      <c r="A24" t="s">
        <v>27</v>
      </c>
      <c r="B24" s="9">
        <f>B22/(B22+B23)</f>
        <v>0.8937376962130785</v>
      </c>
    </row>
    <row r="25" spans="1:2" x14ac:dyDescent="0.25">
      <c r="A25" t="s">
        <v>28</v>
      </c>
      <c r="B25" s="9">
        <f>1-B24</f>
        <v>0.10626230378692147</v>
      </c>
    </row>
    <row r="26" spans="1:2" x14ac:dyDescent="0.25">
      <c r="A26" t="s">
        <v>29</v>
      </c>
      <c r="B26" s="11">
        <f>B24*B20+B25*B21*(1-B8)</f>
        <v>0.0787192496749566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33986000000</v>
      </c>
      <c r="C29" s="6" t="s">
        <v>32</v>
      </c>
    </row>
    <row r="30" spans="1:2" x14ac:dyDescent="0.25">
      <c r="A30" t="s">
        <v>33</v>
      </c>
      <c r="B30" s="10">
        <v>23013000000</v>
      </c>
    </row>
    <row r="31" spans="1:2" x14ac:dyDescent="0.25">
      <c r="A31" t="s">
        <v>34</v>
      </c>
      <c r="B31" s="12">
        <v>472195000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0.07111483493203075</v>
      </c>
      <c r="C5" s="5">
        <v>0.04820468772440778</v>
      </c>
      <c r="D5" s="5">
        <v>0.04530410175885681</v>
      </c>
      <c r="E5" s="5">
        <v>0.042403515793305833</v>
      </c>
      <c r="F5" s="5">
        <v>0.039502929827754864</v>
      </c>
      <c r="G5" s="5">
        <v>0.03660234386220389</v>
      </c>
      <c r="H5" s="5">
        <v>0.03370175789665292</v>
      </c>
      <c r="I5" s="5">
        <v>0.030801171931101948</v>
      </c>
      <c r="J5" s="5">
        <v>0.027900585965550975</v>
      </c>
      <c r="K5" s="5">
        <v>0.025</v>
      </c>
    </row>
    <row r="6" spans="1:11" x14ac:dyDescent="0.25">
      <c r="A6" t="s">
        <v>50</v>
      </c>
      <c r="B6" s="18">
        <f>Assumptions!B29*(1+B5)</f>
        <v>36402908780</v>
      </c>
      <c r="C6" s="18">
        <f>B6*(1+C5)</f>
        <v>38157699630</v>
      </c>
      <c r="D6" s="18">
        <f>C6*(1+D5)</f>
        <v>39886399936.92142</v>
      </c>
      <c r="E6" s="18">
        <f>D6*(1+E5)</f>
        <v>41577723526.58478</v>
      </c>
      <c r="F6" s="18">
        <f>E6*(1+F5)</f>
        <v>43220165421.453255</v>
      </c>
      <c r="G6" s="18">
        <f>F6*(1+G5)</f>
        <v>44802124777.990616</v>
      </c>
      <c r="H6" s="18">
        <f>G6*(1+H5)</f>
        <v>46312035140.51409</v>
      </c>
      <c r="I6" s="18">
        <f>H6*(1+I5)</f>
        <v>47738500097.3563</v>
      </c>
      <c r="J6" s="18">
        <f>I6*(1+J5)</f>
        <v>49070432223.18906</v>
      </c>
      <c r="K6" s="18">
        <f>J6*(1+K5)</f>
        <v>50297193028.768776</v>
      </c>
    </row>
    <row r="7" spans="1:11" x14ac:dyDescent="0.25">
      <c r="A7" t="s">
        <v>4</v>
      </c>
      <c r="B7" s="9">
        <f>Assumptions!B7</f>
        <v>0.2432557640300713</v>
      </c>
      <c r="C7" s="9">
        <f>Assumptions!B7</f>
        <v>0.2432557640300713</v>
      </c>
      <c r="D7" s="9">
        <f>Assumptions!B7</f>
        <v>0.2432557640300713</v>
      </c>
      <c r="E7" s="9">
        <f>Assumptions!B7</f>
        <v>0.2432557640300713</v>
      </c>
      <c r="F7" s="9">
        <f>Assumptions!B7</f>
        <v>0.2432557640300713</v>
      </c>
      <c r="G7" s="9">
        <f>Assumptions!B7</f>
        <v>0.2432557640300713</v>
      </c>
      <c r="H7" s="9">
        <f>Assumptions!B7</f>
        <v>0.2432557640300713</v>
      </c>
      <c r="I7" s="9">
        <f>Assumptions!B7</f>
        <v>0.2432557640300713</v>
      </c>
      <c r="J7" s="9">
        <f>Assumptions!B7</f>
        <v>0.2432557640300713</v>
      </c>
      <c r="K7" s="9">
        <f>Assumptions!B7</f>
        <v>0.2432557640300713</v>
      </c>
    </row>
    <row r="8" spans="1:11" x14ac:dyDescent="0.25">
      <c r="A8" t="s">
        <v>51</v>
      </c>
      <c r="B8" s="18">
        <f>B6*B7</f>
        <v>8855217388.19589</v>
      </c>
      <c r="C8" s="18">
        <f>C6*C7</f>
        <v>9282080377.125618</v>
      </c>
      <c r="D8" s="18">
        <f>D6*D7</f>
        <v>9702596691.064806</v>
      </c>
      <c r="E8" s="18">
        <f>E6*E7</f>
        <v>10114020903.09045</v>
      </c>
      <c r="F8" s="18">
        <f>F6*F7</f>
        <v>10513554361.101679</v>
      </c>
      <c r="G8" s="18">
        <f>G6*G7</f>
        <v>10898375093.040695</v>
      </c>
      <c r="H8" s="18">
        <f>H6*H7</f>
        <v>11265669491.893265</v>
      </c>
      <c r="I8" s="18">
        <f>I6*I7</f>
        <v>11612665314.832039</v>
      </c>
      <c r="J8" s="18">
        <f>J6*J7</f>
        <v>11936665481.737684</v>
      </c>
      <c r="K8" s="18">
        <f>K6*K7</f>
        <v>12235082118.781124</v>
      </c>
    </row>
    <row r="9" spans="1:11" x14ac:dyDescent="0.25">
      <c r="A9" t="s">
        <v>52</v>
      </c>
      <c r="B9" s="18">
        <f>B8*(1-Assumptions!B8)</f>
        <v>6995621736.674754</v>
      </c>
      <c r="C9" s="18">
        <f>C8*(1-Assumptions!B8)</f>
        <v>7332843497.929238</v>
      </c>
      <c r="D9" s="18">
        <f>D8*(1-Assumptions!B8)</f>
        <v>7665051385.941197</v>
      </c>
      <c r="E9" s="18">
        <f>E8*(1-Assumptions!B8)</f>
        <v>7990076513.441456</v>
      </c>
      <c r="F9" s="18">
        <f>F8*(1-Assumptions!B8)</f>
        <v>8305707945.270327</v>
      </c>
      <c r="G9" s="18">
        <f>G8*(1-Assumptions!B8)</f>
        <v>8609716323.50215</v>
      </c>
      <c r="H9" s="18">
        <f>H8*(1-Assumptions!B8)</f>
        <v>8899878898.59568</v>
      </c>
      <c r="I9" s="18">
        <f>I8*(1-Assumptions!B8)</f>
        <v>9174005598.717312</v>
      </c>
      <c r="J9" s="18">
        <f>J8*(1-Assumptions!B8)</f>
        <v>9429965730.572771</v>
      </c>
      <c r="K9" s="18">
        <f>K8*(1-Assumptions!B8)</f>
        <v>9665714873.837088</v>
      </c>
    </row>
    <row r="10" spans="1:11" x14ac:dyDescent="0.25">
      <c r="A10" t="s">
        <v>53</v>
      </c>
      <c r="B10" s="18">
        <f>B6*Assumptions!B9</f>
        <v>4253720667.078188</v>
      </c>
      <c r="C10" s="18">
        <f>C6*Assumptions!B9</f>
        <v>4458769943.501552</v>
      </c>
      <c r="D10" s="18">
        <f>D6*Assumptions!B9</f>
        <v>4660770510.741279</v>
      </c>
      <c r="E10" s="18">
        <f>E6*Assumptions!B9</f>
        <v>4858403566.702471</v>
      </c>
      <c r="F10" s="18">
        <f>F6*Assumptions!B9</f>
        <v>5050324741.872833</v>
      </c>
      <c r="G10" s="18">
        <f>G6*Assumptions!B9</f>
        <v>5235178464.690658</v>
      </c>
      <c r="H10" s="18">
        <f>H6*Assumptions!B9</f>
        <v>5411613181.853434</v>
      </c>
      <c r="I10" s="18">
        <f>I6*Assumptions!B9</f>
        <v>5578297209.892319</v>
      </c>
      <c r="J10" s="18">
        <f>J6*Assumptions!B9</f>
        <v>5733934970.738313</v>
      </c>
      <c r="K10" s="18">
        <f>K6*Assumptions!B9</f>
        <v>5877283345.00677</v>
      </c>
    </row>
    <row r="11" spans="1:11" x14ac:dyDescent="0.25">
      <c r="A11" t="s">
        <v>54</v>
      </c>
      <c r="B11" s="18">
        <f>-B6*B19</f>
        <v>-4563297286.520781</v>
      </c>
      <c r="C11" s="18">
        <f>-C6*C19</f>
        <v>-4874741129.558364</v>
      </c>
      <c r="D11" s="18">
        <f>-D6*D19</f>
        <v>-5191202455.243629</v>
      </c>
      <c r="E11" s="18">
        <f>-E6*E19</f>
        <v>-5510997683.847161</v>
      </c>
      <c r="F11" s="18">
        <f>-F6*F19</f>
        <v>-5832305488.69097</v>
      </c>
      <c r="G11" s="18">
        <f>-G6*G19</f>
        <v>-6153181057.9485655</v>
      </c>
      <c r="H11" s="18">
        <f>-H6*H19</f>
        <v>-6471573147.071245</v>
      </c>
      <c r="I11" s="18">
        <f>-I6*I19</f>
        <v>-6785343772.540071</v>
      </c>
      <c r="J11" s="18">
        <f>-J6*J19</f>
        <v>-7092290331.743496</v>
      </c>
      <c r="K11" s="18">
        <f>-K6*K19</f>
        <v>-7390169869.308234</v>
      </c>
    </row>
    <row r="12" spans="1:11" x14ac:dyDescent="0.25">
      <c r="A12" t="s">
        <v>55</v>
      </c>
      <c r="B12" s="18">
        <f>-(B6-Assumptions!B29)*Assumptions!B11</f>
        <v>-288942521.03690827</v>
      </c>
      <c r="C12" s="18">
        <f>-(C6-B6)*Assumptions!B11</f>
        <v>-209786027.6263712</v>
      </c>
      <c r="D12" s="18">
        <f>-(D6-C6)*Assumptions!B11</f>
        <v>-206666891.58171347</v>
      </c>
      <c r="E12" s="18">
        <f>-(E6-D6)*Assumptions!B11</f>
        <v>-202198488.38751987</v>
      </c>
      <c r="F12" s="18">
        <f>-(F6-E6)*Assumptions!B11</f>
        <v>-196354660.0049731</v>
      </c>
      <c r="G12" s="18">
        <f>-(G6-F6)*Assumptions!B11</f>
        <v>-189123945.61114976</v>
      </c>
      <c r="H12" s="18">
        <f>-(H6-G6)*Assumptions!B11</f>
        <v>-180510456.2892461</v>
      </c>
      <c r="I12" s="18">
        <f>-(I6-H6)*Assumptions!B11</f>
        <v>-170534520.8770322</v>
      </c>
      <c r="J12" s="18">
        <f>-(J6-I6)*Assumptions!B11</f>
        <v>-159233078.82896808</v>
      </c>
      <c r="K12" s="18">
        <f>-(K6-J6)*Assumptions!B11</f>
        <v>-146659800.65390497</v>
      </c>
    </row>
    <row r="13" spans="1:11" x14ac:dyDescent="0.25">
      <c r="A13" s="19" t="s">
        <v>56</v>
      </c>
      <c r="B13" s="20">
        <f>B9+B10+B11+B12</f>
        <v>6397102596.195252</v>
      </c>
      <c r="C13" s="20">
        <f>C9+C10+C11+C12</f>
        <v>6707086284.246055</v>
      </c>
      <c r="D13" s="20">
        <f>D9+D10+D11+D12</f>
        <v>6927952549.857133</v>
      </c>
      <c r="E13" s="20">
        <f>E9+E10+E11+E12</f>
        <v>7135283907.9092455</v>
      </c>
      <c r="F13" s="20">
        <f>F9+F10+F11+F12</f>
        <v>7327372538.447216</v>
      </c>
      <c r="G13" s="20">
        <f>G9+G10+G11+G12</f>
        <v>7502589784.633091</v>
      </c>
      <c r="H13" s="20">
        <f>H9+H10+H11+H12</f>
        <v>7659408477.088622</v>
      </c>
      <c r="I13" s="20">
        <f>I9+I10+I11+I12</f>
        <v>7796424515.192528</v>
      </c>
      <c r="J13" s="20">
        <f>J9+J10+J11+J12</f>
        <v>7912377290.738621</v>
      </c>
      <c r="K13" s="20">
        <f>K9+K10+K11+K12</f>
        <v>8006168548.881718</v>
      </c>
    </row>
    <row r="14" spans="1:11" x14ac:dyDescent="0.25">
      <c r="A14" t="s">
        <v>57</v>
      </c>
      <c r="B14" s="21">
        <f>1/(1+Assumptions!$B$26)^(1-0.5*Assumptions!$B$32)</f>
        <v>0.962821513357862</v>
      </c>
      <c r="C14" s="21">
        <f>1/(1+Assumptions!$B$26)^(2-0.5*Assumptions!$B$32)</f>
        <v>0.8925598700940793</v>
      </c>
      <c r="D14" s="21">
        <f>1/(1+Assumptions!$B$26)^(3-0.5*Assumptions!$B$32)</f>
        <v>0.8274255515167904</v>
      </c>
      <c r="E14" s="21">
        <f>1/(1+Assumptions!$B$26)^(4-0.5*Assumptions!$B$32)</f>
        <v>0.7670443924738648</v>
      </c>
      <c r="F14" s="21">
        <f>1/(1+Assumptions!$B$26)^(5-0.5*Assumptions!$B$32)</f>
        <v>0.711069532415402</v>
      </c>
      <c r="G14" s="21">
        <f>1/(1+Assumptions!$B$26)^(6-0.5*Assumptions!$B$32)</f>
        <v>0.659179422847663</v>
      </c>
      <c r="H14" s="21">
        <f>1/(1+Assumptions!$B$26)^(7-0.5*Assumptions!$B$32)</f>
        <v>0.6110759801925192</v>
      </c>
      <c r="I14" s="21">
        <f>1/(1+Assumptions!$B$26)^(8-0.5*Assumptions!$B$32)</f>
        <v>0.5664828734414915</v>
      </c>
      <c r="J14" s="21">
        <f>1/(1+Assumptions!$B$26)^(9-0.5*Assumptions!$B$32)</f>
        <v>0.525143936767779</v>
      </c>
      <c r="K14" s="21">
        <f>1/(1+Assumptions!$B$26)^(10-0.5*Assumptions!$B$32)</f>
        <v>0.48682169797750174</v>
      </c>
    </row>
    <row r="15" spans="1:11" x14ac:dyDescent="0.25">
      <c r="A15" s="19" t="s">
        <v>58</v>
      </c>
      <c r="B15" s="20">
        <f>B13*B14</f>
        <v>6159268002.774221</v>
      </c>
      <c r="C15" s="20">
        <f>C13*C14</f>
        <v>5986476062.57644</v>
      </c>
      <c r="D15" s="20">
        <f>D13*D14</f>
        <v>5732364959.447693</v>
      </c>
      <c r="E15" s="20">
        <f>E13*E14</f>
        <v>5473079510.270791</v>
      </c>
      <c r="F15" s="20">
        <f>F13*F14</f>
        <v>5210271364.74712</v>
      </c>
      <c r="G15" s="20">
        <f>G13*G14</f>
        <v>4945552804.097213</v>
      </c>
      <c r="H15" s="20">
        <f>H13*H14</f>
        <v>4680480542.8318205</v>
      </c>
      <c r="I15" s="20">
        <f>I13*I14</f>
        <v>4416540961.93595</v>
      </c>
      <c r="J15" s="20">
        <f>J13*J14</f>
        <v>4155136959.650453</v>
      </c>
      <c r="K15" s="20">
        <f>K13*K14</f>
        <v>3897576567.2606688</v>
      </c>
    </row>
    <row r="17" spans="1:2" x14ac:dyDescent="0.25">
      <c r="A17" s="22" t="s">
        <v>59</v>
      </c>
      <c r="B17" s="23">
        <f>SUM(B15:K15)</f>
        <v>50656747735.59237</v>
      </c>
    </row>
    <row r="19" spans="1:11" x14ac:dyDescent="0.25">
      <c r="A19" t="s">
        <v>7</v>
      </c>
      <c r="B19" s="9">
        <f>Assumptions!$B$10+($B$20-Assumptions!$B$10)*0/9</f>
        <v>0.12535529273495546</v>
      </c>
      <c r="C19" s="9">
        <f>Assumptions!$B$10+($B$20-Assumptions!$B$10)*1/9</f>
        <v>0.12775248971575293</v>
      </c>
      <c r="D19" s="9">
        <f>Assumptions!$B$10+($B$20-Assumptions!$B$10)*2/9</f>
        <v>0.1301496866965504</v>
      </c>
      <c r="E19" s="9">
        <f>Assumptions!$B$10+($B$20-Assumptions!$B$10)*3/9</f>
        <v>0.13254688367734785</v>
      </c>
      <c r="F19" s="9">
        <f>Assumptions!$B$10+($B$20-Assumptions!$B$10)*4/9</f>
        <v>0.1349440806581453</v>
      </c>
      <c r="G19" s="9">
        <f>Assumptions!$B$10+($B$20-Assumptions!$B$10)*5/9</f>
        <v>0.13734127763894274</v>
      </c>
      <c r="H19" s="9">
        <f>Assumptions!$B$10+($B$20-Assumptions!$B$10)*6/9</f>
        <v>0.1397384746197402</v>
      </c>
      <c r="I19" s="9">
        <f>Assumptions!$B$10+($B$20-Assumptions!$B$10)*7/9</f>
        <v>0.14213567160053767</v>
      </c>
      <c r="J19" s="9">
        <f>Assumptions!$B$10+($B$20-Assumptions!$B$10)*8/9</f>
        <v>0.14453286858133513</v>
      </c>
      <c r="K19" s="9">
        <f>Assumptions!$B$10+($B$20-Assumptions!$B$10)*9/9</f>
        <v>0.1469300655621326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0.1469300655621326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8006168548.881718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10319873250.369087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0.22683758272964732</v>
      </c>
    </row>
    <row r="7" spans="1:2" x14ac:dyDescent="0.25">
      <c r="A7" t="s">
        <v>66</v>
      </c>
      <c r="B7" s="18">
        <f>-MAX(B5,0)*B6</f>
        <v>-2340935102.190072</v>
      </c>
    </row>
    <row r="8" spans="1:2" x14ac:dyDescent="0.25">
      <c r="A8" t="s">
        <v>67</v>
      </c>
      <c r="B8" s="18">
        <f>IF(OR(Assumptions!$B$33=0,Assumptions!B12&lt;=0),B5,MAX(B5+B7,0))</f>
        <v>7978938148.179015</v>
      </c>
    </row>
    <row r="9" spans="1:2" x14ac:dyDescent="0.25">
      <c r="A9" t="s">
        <v>68</v>
      </c>
      <c r="B9" s="18">
        <f>B8*(1+Assumptions!B12)/(Assumptions!B26-Assumptions!B12)</f>
        <v>152243593337.0117</v>
      </c>
    </row>
    <row r="10" spans="1:2" x14ac:dyDescent="0.25">
      <c r="A10" t="s">
        <v>69</v>
      </c>
      <c r="B10" s="18">
        <f>B9/(1+Assumptions!B26)^(10-0.5*Assumptions!B32)</f>
        <v>74115484614.5203</v>
      </c>
    </row>
    <row r="11" spans="1:2" x14ac:dyDescent="0.25">
      <c r="A11" t="s">
        <v>70</v>
      </c>
      <c r="B11" s="18">
        <f>Forecast!B17+B10</f>
        <v>124772232350.11267</v>
      </c>
    </row>
    <row r="12" spans="1:2" x14ac:dyDescent="0.25">
      <c r="A12" t="s">
        <v>71</v>
      </c>
      <c r="B12" s="18">
        <f>-Assumptions!B30</f>
        <v>-23013000000</v>
      </c>
    </row>
    <row r="13" spans="1:2" x14ac:dyDescent="0.25">
      <c r="A13" t="s">
        <v>72</v>
      </c>
      <c r="B13" s="18">
        <f>B11+B12</f>
        <v>101759232350.11267</v>
      </c>
    </row>
    <row r="14" spans="1:2" x14ac:dyDescent="0.25">
      <c r="A14" s="19" t="s">
        <v>73</v>
      </c>
      <c r="B14" s="24">
        <f>B13/Assumptions!B31</f>
        <v>215.50256218323506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18112365463.787895</v>
      </c>
    </row>
    <row r="18" spans="1:2" x14ac:dyDescent="0.25">
      <c r="A18" t="s">
        <v>68</v>
      </c>
      <c r="B18" s="18">
        <f>B17*Assumptions!B13</f>
        <v>360511120108.60474</v>
      </c>
    </row>
    <row r="19" spans="1:2" x14ac:dyDescent="0.25">
      <c r="A19" t="s">
        <v>69</v>
      </c>
      <c r="B19" s="18">
        <f>B18/(1+Assumptions!B26)^(10-0.5*Assumptions!B32)</f>
        <v>175504635631.04202</v>
      </c>
    </row>
    <row r="20" spans="1:2" x14ac:dyDescent="0.25">
      <c r="A20" t="s">
        <v>70</v>
      </c>
      <c r="B20" s="18">
        <f>Forecast!B17+B19</f>
        <v>226161383366.6344</v>
      </c>
    </row>
    <row r="21" spans="1:2" x14ac:dyDescent="0.25">
      <c r="A21" t="s">
        <v>71</v>
      </c>
      <c r="B21" s="18">
        <f>-Assumptions!B30</f>
        <v>-23013000000</v>
      </c>
    </row>
    <row r="22" spans="1:2" x14ac:dyDescent="0.25">
      <c r="A22" t="s">
        <v>72</v>
      </c>
      <c r="B22" s="18">
        <f>B20+B21</f>
        <v>203148383366.6344</v>
      </c>
    </row>
    <row r="23" spans="1:2" x14ac:dyDescent="0.25">
      <c r="A23" s="19" t="s">
        <v>73</v>
      </c>
      <c r="B23" s="25">
        <f>B22/Assumptions!B31</f>
        <v>430.2213775381662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514.24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215.50256218323506</v>
      </c>
    </row>
    <row r="29" spans="1:2" x14ac:dyDescent="0.25">
      <c r="A29" s="19" t="s">
        <v>81</v>
      </c>
      <c r="B29" s="11">
        <f>B28/B26-1</f>
        <v>-0.580929989531668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0.058719</v>
      </c>
      <c r="B5" s="31">
        <v>329.44014084204133</v>
      </c>
      <c r="C5" s="31">
        <v>345.4800162003806</v>
      </c>
      <c r="D5" s="31">
        <v>367.0271164997222</v>
      </c>
      <c r="E5" s="31">
        <v>396.95787804059995</v>
      </c>
      <c r="F5" s="31">
        <v>440.57416509313697</v>
      </c>
    </row>
    <row r="6" spans="1:6" x14ac:dyDescent="0.25">
      <c r="A6" s="30">
        <v>0.068719</v>
      </c>
      <c r="B6" s="31">
        <v>258.8294611004139</v>
      </c>
      <c r="C6" s="31">
        <v>265.37463109550254</v>
      </c>
      <c r="D6" s="31">
        <v>273.9635427016576</v>
      </c>
      <c r="E6" s="31">
        <v>285.38795511116234</v>
      </c>
      <c r="F6" s="31">
        <v>300.90924950525687</v>
      </c>
    </row>
    <row r="7" spans="1:6" x14ac:dyDescent="0.25">
      <c r="A7" s="30">
        <v>0.078719</v>
      </c>
      <c r="B7" s="31">
        <v>210.44181757351564</v>
      </c>
      <c r="C7" s="31">
        <v>212.5648667909946</v>
      </c>
      <c r="D7" s="32">
        <v>215.5037505880788</v>
      </c>
      <c r="E7" s="31">
        <v>219.5096547176383</v>
      </c>
      <c r="F7" s="31">
        <v>224.94867412665553</v>
      </c>
    </row>
    <row r="8" spans="1:6" x14ac:dyDescent="0.25">
      <c r="A8" s="30">
        <v>0.088719</v>
      </c>
      <c r="B8" s="31">
        <v>175.22975527590054</v>
      </c>
      <c r="C8" s="31">
        <v>175.13397255881583</v>
      </c>
      <c r="D8" s="31">
        <v>175.35871753904723</v>
      </c>
      <c r="E8" s="31">
        <v>175.98587028028368</v>
      </c>
      <c r="F8" s="31">
        <v>177.1277954284618</v>
      </c>
    </row>
    <row r="9" spans="1:6" x14ac:dyDescent="0.25">
      <c r="A9" s="30">
        <v>0.098719</v>
      </c>
      <c r="B9" s="31">
        <v>148.46886235562468</v>
      </c>
      <c r="C9" s="31">
        <v>147.22055527085223</v>
      </c>
      <c r="D9" s="31">
        <v>146.07760792828003</v>
      </c>
      <c r="E9" s="31">
        <v>145.0630182780093</v>
      </c>
      <c r="F9" s="31">
        <v>144.2070028235088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33986000000</v>
      </c>
      <c r="C5" s="18">
        <v>33005000000</v>
      </c>
      <c r="D5" s="18">
        <v>32854000000</v>
      </c>
      <c r="E5" s="18">
        <v>33364000000</v>
      </c>
      <c r="F5" s="6" t="s">
        <v>91</v>
      </c>
    </row>
    <row r="6" spans="1:6" x14ac:dyDescent="0.25">
      <c r="A6" t="s">
        <v>51</v>
      </c>
      <c r="B6" s="18">
        <v>9254000000</v>
      </c>
      <c r="C6" s="18">
        <v>8595000000</v>
      </c>
      <c r="D6" s="18">
        <v>8105000000</v>
      </c>
      <c r="E6" s="18">
        <v>6460000000</v>
      </c>
      <c r="F6" s="6" t="s">
        <v>92</v>
      </c>
    </row>
    <row r="7" spans="1:6" x14ac:dyDescent="0.25">
      <c r="A7" t="s">
        <v>93</v>
      </c>
      <c r="B7" s="18">
        <v>3763000000</v>
      </c>
      <c r="C7" s="18">
        <v>3780000000</v>
      </c>
      <c r="D7" s="18">
        <v>3816000000</v>
      </c>
      <c r="E7" s="18">
        <v>4204000000</v>
      </c>
      <c r="F7" s="6" t="s">
        <v>94</v>
      </c>
    </row>
    <row r="8" spans="1:6" x14ac:dyDescent="0.25">
      <c r="A8" t="s">
        <v>95</v>
      </c>
      <c r="B8" s="18">
        <v>5261000000</v>
      </c>
      <c r="C8" s="18">
        <v>4497000000</v>
      </c>
      <c r="D8" s="18">
        <v>3787000000</v>
      </c>
      <c r="E8" s="18">
        <v>3173000000</v>
      </c>
      <c r="F8" s="6" t="s">
        <v>96</v>
      </c>
    </row>
    <row r="9" spans="1:6" x14ac:dyDescent="0.25">
      <c r="A9" t="s">
        <v>97</v>
      </c>
      <c r="B9" s="18">
        <v>240000000</v>
      </c>
      <c r="C9" s="18">
        <v>845000000</v>
      </c>
      <c r="D9" s="18">
        <v>483000000</v>
      </c>
      <c r="E9" s="18">
        <v>310000000</v>
      </c>
      <c r="F9" s="6" t="s">
        <v>98</v>
      </c>
    </row>
    <row r="10" spans="1:6" x14ac:dyDescent="0.25">
      <c r="A10" t="s">
        <v>99</v>
      </c>
      <c r="B10" s="18">
        <v>28069000000</v>
      </c>
      <c r="C10" s="18">
        <v>22609000000</v>
      </c>
      <c r="D10" s="18">
        <v>20315000000</v>
      </c>
      <c r="E10" s="18">
        <v>18791000000</v>
      </c>
      <c r="F10" s="6" t="s">
        <v>100</v>
      </c>
    </row>
    <row r="11" spans="1:6" x14ac:dyDescent="0.25">
      <c r="A11" t="s">
        <v>101</v>
      </c>
      <c r="B11" s="18">
        <v>5056000000</v>
      </c>
      <c r="C11" s="18">
        <v>4850000000</v>
      </c>
      <c r="D11" s="18">
        <v>4664000000</v>
      </c>
      <c r="E11" s="18">
        <v>5436000000</v>
      </c>
      <c r="F11" s="6" t="s">
        <v>102</v>
      </c>
    </row>
    <row r="12" spans="1:6" x14ac:dyDescent="0.25">
      <c r="A12" t="s">
        <v>34</v>
      </c>
      <c r="B12" s="34">
        <v>472195000</v>
      </c>
      <c r="C12" s="34">
        <v>482092000</v>
      </c>
      <c r="D12" s="34">
        <v>492290000</v>
      </c>
      <c r="E12" s="34">
        <v>504038000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