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<sst xmlns="http://schemas.openxmlformats.org/spreadsheetml/2006/main" count="111" uniqueCount="99">
  <si>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Linde plc (LIN)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</si>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</sst>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0.006176060609136114</v>
      </c>
    </row>
    <row r="7" spans="1:2" x14ac:dyDescent="0.25">
      <c r="A7" t="s">
        <v>5</v>
      </c>
      <c r="B7" s="6">
        <v>0.2432557640300713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0.11685112013398255</v>
      </c>
    </row>
    <row r="10" spans="1:2" x14ac:dyDescent="0.25">
      <c r="A10" t="s">
        <v>8</v>
      </c>
      <c r="B10" s="6">
        <v>0.12535529273495546</v>
      </c>
    </row>
    <row r="11" spans="1:2" x14ac:dyDescent="0.25">
      <c r="A11" t="s">
        <v>9</v>
      </c>
      <c r="B11" s="6">
        <v>0.24464831804281345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18.07238655665668</v>
      </c>
    </row>
    <row r="14" spans="1:3" x14ac:dyDescent="0.25">
      <c r="A14" t="s">
        <v>12</v>
      </c>
      <c r="B14" s="6">
        <v>0.11021101397379923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0.81709</v>
      </c>
      <c r="C19" s="8" t="s">
        <v>19</v>
      </c>
    </row>
    <row r="20" spans="1:2" x14ac:dyDescent="0.25">
      <c r="A20" t="s">
        <v>20</v>
      </c>
      <c r="B20" s="10">
        <f>B17+B19*B18</f>
        <v>0.09491995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212235255808</v>
      </c>
    </row>
    <row r="23" spans="1:2" x14ac:dyDescent="0.25">
      <c r="A23" t="s">
        <v>24</v>
      </c>
      <c r="B23" s="11">
        <v>28069000000</v>
      </c>
    </row>
    <row r="24" spans="1:2" x14ac:dyDescent="0.25">
      <c r="A24" t="s">
        <v>25</v>
      </c>
      <c r="B24" s="10">
        <f>B22/(B22+B23)</f>
        <v>0.8831939122109149</v>
      </c>
    </row>
    <row r="25" spans="1:2" x14ac:dyDescent="0.25">
      <c r="A25" t="s">
        <v>26</v>
      </c>
      <c r="B25" s="10">
        <f>1-B24</f>
        <v>0.11680608778908508</v>
      </c>
    </row>
    <row r="26" spans="1:2" x14ac:dyDescent="0.25">
      <c r="A26" t="s">
        <v>27</v>
      </c>
      <c r="B26" s="12">
        <f>B24*B20+B25*B21*(1-B8)</f>
        <v>0.08844471691884623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33986000000</v>
      </c>
      <c r="C29" s="8" t="s">
        <v>30</v>
      </c>
    </row>
    <row r="30" spans="1:2" x14ac:dyDescent="0.25">
      <c r="A30" t="s">
        <v>31</v>
      </c>
      <c r="B30" s="11">
        <v>23013000000</v>
      </c>
    </row>
    <row r="31" spans="1:2" x14ac:dyDescent="0.25">
      <c r="A31" t="s">
        <v>32</v>
      </c>
      <c r="B31" s="13">
        <v>472915000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0.006176060609136114</v>
      </c>
      <c r="C5" s="10">
        <f>Assumptions!B6</f>
        <v>0.006176060609136114</v>
      </c>
      <c r="D5" s="10">
        <f>Assumptions!B6</f>
        <v>0.006176060609136114</v>
      </c>
      <c r="E5" s="10">
        <f>Assumptions!B6</f>
        <v>0.006176060609136114</v>
      </c>
      <c r="F5" s="10">
        <f>Assumptions!B6</f>
        <v>0.006176060609136114</v>
      </c>
    </row>
    <row r="6" spans="1:6" x14ac:dyDescent="0.25">
      <c r="A6" t="s">
        <v>43</v>
      </c>
      <c r="B6" s="18">
        <f>Assumptions!B29*(1+B5)</f>
        <v>34195899595.8621</v>
      </c>
      <c r="C6" s="18">
        <f>B6*(1+C5)</f>
        <v>34407095544.350075</v>
      </c>
      <c r="D6" s="18">
        <f>C6*(1+D5)</f>
        <v>34619595851.816315</v>
      </c>
      <c r="E6" s="18">
        <f>D6*(1+E5)</f>
        <v>34833408574.06093</v>
      </c>
      <c r="F6" s="18">
        <f>E6*(1+F5)</f>
        <v>35048541816.63713</v>
      </c>
    </row>
    <row r="7" spans="1:6" x14ac:dyDescent="0.25">
      <c r="A7" t="s">
        <v>5</v>
      </c>
      <c r="B7" s="10">
        <f>Assumptions!B7</f>
        <v>0.2432557640300713</v>
      </c>
      <c r="C7" s="10">
        <f>Assumptions!B7</f>
        <v>0.2432557640300713</v>
      </c>
      <c r="D7" s="10">
        <f>Assumptions!B7</f>
        <v>0.2432557640300713</v>
      </c>
      <c r="E7" s="10">
        <f>Assumptions!B7</f>
        <v>0.2432557640300713</v>
      </c>
      <c r="F7" s="10">
        <f>Assumptions!B7</f>
        <v>0.2432557640300713</v>
      </c>
    </row>
    <row r="8" spans="1:6" x14ac:dyDescent="0.25">
      <c r="A8" t="s">
        <v>44</v>
      </c>
      <c r="B8" s="18">
        <f>B6*B7</f>
        <v>8318349682.887041</v>
      </c>
      <c r="C8" s="18">
        <f>C6*C7</f>
        <v>8369724314.696539</v>
      </c>
      <c r="D8" s="18">
        <f>D6*D7</f>
        <v>8421416239.345864</v>
      </c>
      <c r="E8" s="18">
        <f>E6*E7</f>
        <v>8473427416.454827</v>
      </c>
      <c r="F8" s="18">
        <f>F6*F7</f>
        <v>8525759817.745968</v>
      </c>
    </row>
    <row r="9" spans="1:6" x14ac:dyDescent="0.25">
      <c r="A9" t="s">
        <v>45</v>
      </c>
      <c r="B9" s="18">
        <f>B8*(1-Assumptions!B8)</f>
        <v>6571496249.4807625</v>
      </c>
      <c r="C9" s="18">
        <f>C8*(1-Assumptions!B8)</f>
        <v>6612082208.610266</v>
      </c>
      <c r="D9" s="18">
        <f>D8*(1-Assumptions!B8)</f>
        <v>6652918829.083233</v>
      </c>
      <c r="E9" s="18">
        <f>E8*(1-Assumptions!B8)</f>
        <v>6694007658.999314</v>
      </c>
      <c r="F9" s="18">
        <f>F8*(1-Assumptions!B8)</f>
        <v>6735350256.019315</v>
      </c>
    </row>
    <row r="10" spans="1:6" x14ac:dyDescent="0.25">
      <c r="A10" t="s">
        <v>46</v>
      </c>
      <c r="B10" s="18">
        <f>B6*Assumptions!B9</f>
        <v>3995829171.7656875</v>
      </c>
      <c r="C10" s="18">
        <f>C6*Assumptions!B9</f>
        <v>4020507654.914266</v>
      </c>
      <c r="D10" s="18">
        <f>D6*Assumptions!B9</f>
        <v>4045338553.870512</v>
      </c>
      <c r="E10" s="18">
        <f>E6*Assumptions!B9</f>
        <v>4070322809.963691</v>
      </c>
      <c r="F10" s="18">
        <f>F6*Assumptions!B9</f>
        <v>4095461370.3367763</v>
      </c>
    </row>
    <row r="11" spans="1:6" x14ac:dyDescent="0.25">
      <c r="A11" t="s">
        <v>47</v>
      </c>
      <c r="B11" s="18">
        <f>-B6*Assumptions!B10</f>
        <v>-4286637004.1744385</v>
      </c>
      <c r="C11" s="18">
        <f>-C6*Assumptions!B10</f>
        <v>-4313111534.121586</v>
      </c>
      <c r="D11" s="18">
        <f>-D6*Assumptions!B10</f>
        <v>-4339749572.370284</v>
      </c>
      <c r="E11" s="18">
        <f>-E6*Assumptions!B10</f>
        <v>-4366552128.757715</v>
      </c>
      <c r="F11" s="18">
        <f>-F6*Assumptions!B10</f>
        <v>-4393520219.357875</v>
      </c>
    </row>
    <row r="12" spans="1:6" x14ac:dyDescent="0.25">
      <c r="A12" t="s">
        <v>48</v>
      </c>
      <c r="B12" s="18">
        <f>-(B6-Assumptions!B29)*Assumptions!B11</f>
        <v>-51351583.08552873</v>
      </c>
      <c r="C12" s="18">
        <f>-(C6-B6)*Assumptions!B11</f>
        <v>-51668733.57504002</v>
      </c>
      <c r="D12" s="18">
        <f>-(D6-C6)*Assumptions!B11</f>
        <v>-51987842.805196315</v>
      </c>
      <c r="E12" s="18">
        <f>-(E6-D6)*Assumptions!B11</f>
        <v>-52308922.87329997</v>
      </c>
      <c r="F12" s="18">
        <f>-(F6-E6)*Assumptions!B11</f>
        <v>-52631985.9513645</v>
      </c>
    </row>
    <row r="13" spans="1:6" x14ac:dyDescent="0.25">
      <c r="A13" s="19" t="s">
        <v>49</v>
      </c>
      <c r="B13" s="20">
        <f>B9+B10+B11+B12</f>
        <v>6229336833.986484</v>
      </c>
      <c r="C13" s="20">
        <f>C9+C10+C11+C12</f>
        <v>6267809595.827907</v>
      </c>
      <c r="D13" s="20">
        <f>D9+D10+D11+D12</f>
        <v>6306519967.778264</v>
      </c>
      <c r="E13" s="20">
        <f>E9+E10+E11+E12</f>
        <v>6345469417.33199</v>
      </c>
      <c r="F13" s="20">
        <f>F9+F10+F11+F12</f>
        <v>6384659421.046851</v>
      </c>
    </row>
    <row r="14" spans="1:6" x14ac:dyDescent="0.25">
      <c r="A14" t="s">
        <v>50</v>
      </c>
      <c r="B14" s="21">
        <f>1/(1+Assumptions!$B$26)^(1-0.5*Assumptions!$B$32)</f>
        <v>0.9585103618749377</v>
      </c>
      <c r="C14" s="21">
        <f>1/(1+Assumptions!$B$26)^(2-0.5*Assumptions!$B$32)</f>
        <v>0.88062383598891</v>
      </c>
      <c r="D14" s="21">
        <f>1/(1+Assumptions!$B$26)^(3-0.5*Assumptions!$B$32)</f>
        <v>0.8090662045581584</v>
      </c>
      <c r="E14" s="21">
        <f>1/(1+Assumptions!$B$26)^(4-0.5*Assumptions!$B$32)</f>
        <v>0.7433231949974008</v>
      </c>
      <c r="F14" s="21">
        <f>1/(1+Assumptions!$B$26)^(5-0.5*Assumptions!$B$32)</f>
        <v>0.6829223234245554</v>
      </c>
    </row>
    <row r="15" spans="1:6" x14ac:dyDescent="0.25">
      <c r="A15" s="19" t="s">
        <v>51</v>
      </c>
      <c r="B15" s="20">
        <f>B13*B14</f>
        <v>5970883902.985263</v>
      </c>
      <c r="C15" s="20">
        <f>C13*C14</f>
        <v>5519582529.526071</v>
      </c>
      <c r="D15" s="20">
        <f>D13*D14</f>
        <v>5102392174.300599</v>
      </c>
      <c r="E15" s="20">
        <f>E13*E14</f>
        <v>4716734601.049511</v>
      </c>
      <c r="F15" s="20">
        <f>F13*F14</f>
        <v>4360226446.095792</v>
      </c>
    </row>
    <row r="17" spans="1:2" x14ac:dyDescent="0.25">
      <c r="A17" s="22" t="s">
        <v>52</v>
      </c>
      <c r="B17" s="23">
        <f>SUM(B15:F15)</f>
        <v>25669819653.957233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6384659421.046851</v>
      </c>
    </row>
    <row r="5" spans="1:2" x14ac:dyDescent="0.25">
      <c r="A5" t="s">
        <v>56</v>
      </c>
      <c r="B5" s="18">
        <f>IF(Assumptions!$B$33=0,B4,B4-Forecast!F11-Forecast!F10-Forecast!F12)</f>
        <v>7191186771.617142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0.22683758272964732</v>
      </c>
    </row>
    <row r="7" spans="1:2" x14ac:dyDescent="0.25">
      <c r="A7" t="s">
        <v>58</v>
      </c>
      <c r="B7" s="18">
        <f>-MAX(Forecast!F9,0)*B6</f>
        <v>-1631231424.2310488</v>
      </c>
    </row>
    <row r="8" spans="1:2" x14ac:dyDescent="0.25">
      <c r="A8" t="s">
        <v>59</v>
      </c>
      <c r="B8" s="18">
        <f>IF(OR(Assumptions!$B$33=0,Assumptions!B12&lt;=0),B5,MAX(B5+B7,0))</f>
        <v>5559955347.386093</v>
      </c>
    </row>
    <row r="9" spans="1:2" x14ac:dyDescent="0.25">
      <c r="A9" t="s">
        <v>60</v>
      </c>
      <c r="B9" s="18">
        <f>B8*(1+Assumptions!B12)/(Assumptions!B26-Assumptions!B12)</f>
        <v>89825512790.29936</v>
      </c>
    </row>
    <row r="10" spans="1:2" x14ac:dyDescent="0.25">
      <c r="A10" t="s">
        <v>61</v>
      </c>
      <c r="B10" s="18">
        <f>B9/(1+Assumptions!B26)^(5-0.5*Assumptions!B32)</f>
        <v>61343847897.55336</v>
      </c>
    </row>
    <row r="11" spans="1:2" x14ac:dyDescent="0.25">
      <c r="A11" t="s">
        <v>62</v>
      </c>
      <c r="B11" s="18">
        <f>Forecast!B17+B10</f>
        <v>87013667551.51059</v>
      </c>
    </row>
    <row r="12" spans="1:2" x14ac:dyDescent="0.25">
      <c r="A12" t="s">
        <v>63</v>
      </c>
      <c r="B12" s="18">
        <f>-Assumptions!B30</f>
        <v>-23013000000</v>
      </c>
    </row>
    <row r="13" spans="1:2" x14ac:dyDescent="0.25">
      <c r="A13" t="s">
        <v>64</v>
      </c>
      <c r="B13" s="18">
        <f>B11+B12</f>
        <v>64000667551.51059</v>
      </c>
    </row>
    <row r="14" spans="1:2" x14ac:dyDescent="0.25">
      <c r="A14" s="19" t="s">
        <v>65</v>
      </c>
      <c r="B14" s="24">
        <f>B13/Assumptions!B31</f>
        <v>135.33228498040998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12621221188.082745</v>
      </c>
    </row>
    <row r="18" spans="1:2" x14ac:dyDescent="0.25">
      <c r="A18" t="s">
        <v>60</v>
      </c>
      <c r="B18" s="18">
        <f>B17*Assumptions!B13</f>
        <v>228095588128.09708</v>
      </c>
    </row>
    <row r="19" spans="1:2" x14ac:dyDescent="0.25">
      <c r="A19" t="s">
        <v>61</v>
      </c>
      <c r="B19" s="18">
        <f>B18/(1+Assumptions!B26)^(5-0.5*Assumptions!B32)</f>
        <v>155771569007.33047</v>
      </c>
    </row>
    <row r="20" spans="1:2" x14ac:dyDescent="0.25">
      <c r="A20" t="s">
        <v>62</v>
      </c>
      <c r="B20" s="18">
        <f>Forecast!B17+B19</f>
        <v>181441388661.28772</v>
      </c>
    </row>
    <row r="21" spans="1:2" x14ac:dyDescent="0.25">
      <c r="A21" t="s">
        <v>63</v>
      </c>
      <c r="B21" s="18">
        <f>-Assumptions!B30</f>
        <v>-23013000000</v>
      </c>
    </row>
    <row r="22" spans="1:2" x14ac:dyDescent="0.25">
      <c r="A22" t="s">
        <v>64</v>
      </c>
      <c r="B22" s="18">
        <f>B20+B21</f>
        <v>158428388661.28772</v>
      </c>
    </row>
    <row r="23" spans="1:2" x14ac:dyDescent="0.25">
      <c r="A23" s="19" t="s">
        <v>65</v>
      </c>
      <c r="B23" s="25">
        <f>B22/Assumptions!B31</f>
        <v>335.00394079546584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460.4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135.33228498040998</v>
      </c>
    </row>
    <row r="29" spans="1:2" x14ac:dyDescent="0.25">
      <c r="A29" s="19" t="s">
        <v>73</v>
      </c>
      <c r="B29" s="12">
        <f>B28/B26-1</f>
        <v>-0.7060549848383797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0.068445</v>
      </c>
      <c r="B5" s="31">
        <v>193.25364308215268</v>
      </c>
      <c r="C5" s="31">
        <v>202.59243982098099</v>
      </c>
      <c r="D5" s="31">
        <v>213.96292482963764</v>
      </c>
      <c r="E5" s="31">
        <v>228.15779739404886</v>
      </c>
      <c r="F5" s="31">
        <v>246.44378836595072</v>
      </c>
    </row>
    <row r="6" spans="1:6" x14ac:dyDescent="0.25">
      <c r="A6" s="30">
        <v>0.078445</v>
      </c>
      <c r="B6" s="31">
        <v>156.41822073524796</v>
      </c>
      <c r="C6" s="31">
        <v>161.4465174228752</v>
      </c>
      <c r="D6" s="31">
        <v>167.32376067981917</v>
      </c>
      <c r="E6" s="31">
        <v>174.31280938810602</v>
      </c>
      <c r="F6" s="31">
        <v>182.797530086351</v>
      </c>
    </row>
    <row r="7" spans="1:6" x14ac:dyDescent="0.25">
      <c r="A7" s="30">
        <v>0.088445</v>
      </c>
      <c r="B7" s="31">
        <v>129.5986871646977</v>
      </c>
      <c r="C7" s="31">
        <v>132.29012468605742</v>
      </c>
      <c r="D7" s="32">
        <v>135.33152132605642</v>
      </c>
      <c r="E7" s="31">
        <v>138.81269463588978</v>
      </c>
      <c r="F7" s="31">
        <v>142.8570733749833</v>
      </c>
    </row>
    <row r="8" spans="1:6" x14ac:dyDescent="0.25">
      <c r="A8" s="30">
        <v>0.098445</v>
      </c>
      <c r="B8" s="31">
        <v>109.1947105599864</v>
      </c>
      <c r="C8" s="31">
        <v>110.5395302099102</v>
      </c>
      <c r="D8" s="31">
        <v>112.00589564871208</v>
      </c>
      <c r="E8" s="31">
        <v>113.62044413014588</v>
      </c>
      <c r="F8" s="31">
        <v>115.41820986714362</v>
      </c>
    </row>
    <row r="9" spans="1:6" x14ac:dyDescent="0.25">
      <c r="A9" s="30">
        <v>0.108445</v>
      </c>
      <c r="B9" s="31">
        <v>93.1470844709036</v>
      </c>
      <c r="C9" s="31">
        <v>93.68395171953661</v>
      </c>
      <c r="D9" s="31">
        <v>94.23313944246942</v>
      </c>
      <c r="E9" s="31">
        <v>94.79700352107747</v>
      </c>
      <c r="F9" s="31">
        <v>95.37854137295392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33986000000</v>
      </c>
      <c r="C5" s="18">
        <v>33005000000</v>
      </c>
      <c r="D5" s="18">
        <v>32854000000</v>
      </c>
      <c r="E5" s="18">
        <v>33364000000</v>
      </c>
      <c r="F5" s="8" t="s">
        <v>84</v>
      </c>
    </row>
    <row r="6" spans="1:6" x14ac:dyDescent="0.25">
      <c r="A6" t="s">
        <v>44</v>
      </c>
      <c r="B6" s="18">
        <v>9254000000</v>
      </c>
      <c r="C6" s="18">
        <v>8595000000</v>
      </c>
      <c r="D6" s="18">
        <v>8105000000</v>
      </c>
      <c r="E6" s="18">
        <v>6460000000</v>
      </c>
      <c r="F6" s="8" t="s">
        <v>85</v>
      </c>
    </row>
    <row r="7" spans="1:6" x14ac:dyDescent="0.25">
      <c r="A7" t="s">
        <v>86</v>
      </c>
      <c r="B7" s="18">
        <v>3763000000</v>
      </c>
      <c r="C7" s="18">
        <v>3780000000</v>
      </c>
      <c r="D7" s="18">
        <v>3816000000</v>
      </c>
      <c r="E7" s="18">
        <v>4204000000</v>
      </c>
      <c r="F7" s="8" t="s">
        <v>87</v>
      </c>
    </row>
    <row r="8" spans="1:6" x14ac:dyDescent="0.25">
      <c r="A8" t="s">
        <v>88</v>
      </c>
      <c r="B8" s="18">
        <v>5261000000</v>
      </c>
      <c r="C8" s="18">
        <v>4497000000</v>
      </c>
      <c r="D8" s="18">
        <v>3787000000</v>
      </c>
      <c r="E8" s="18">
        <v>3173000000</v>
      </c>
      <c r="F8" s="8" t="s">
        <v>89</v>
      </c>
    </row>
    <row r="9" spans="1:6" x14ac:dyDescent="0.25">
      <c r="A9" t="s">
        <v>90</v>
      </c>
      <c r="B9" s="18">
        <v>240000000</v>
      </c>
      <c r="C9" s="18">
        <v>845000000</v>
      </c>
      <c r="D9" s="18">
        <v>483000000</v>
      </c>
      <c r="E9" s="18">
        <v>310000000</v>
      </c>
      <c r="F9" s="8" t="s">
        <v>91</v>
      </c>
    </row>
    <row r="10" spans="1:6" x14ac:dyDescent="0.25">
      <c r="A10" t="s">
        <v>92</v>
      </c>
      <c r="B10" s="18">
        <v>28069000000</v>
      </c>
      <c r="C10" s="18">
        <v>22609000000</v>
      </c>
      <c r="D10" s="18">
        <v>20315000000</v>
      </c>
      <c r="E10" s="18">
        <v>18791000000</v>
      </c>
      <c r="F10" s="8" t="s">
        <v>93</v>
      </c>
    </row>
    <row r="11" spans="1:6" x14ac:dyDescent="0.25">
      <c r="A11" t="s">
        <v>94</v>
      </c>
      <c r="B11" s="18">
        <v>5056000000</v>
      </c>
      <c r="C11" s="18">
        <v>4850000000</v>
      </c>
      <c r="D11" s="18">
        <v>4664000000</v>
      </c>
      <c r="E11" s="18">
        <v>5436000000</v>
      </c>
      <c r="F11" s="8" t="s">
        <v>95</v>
      </c>
    </row>
    <row r="12" spans="1:6" x14ac:dyDescent="0.25">
      <c r="A12" t="s">
        <v>32</v>
      </c>
      <c r="B12" s="34">
        <v>472915000</v>
      </c>
      <c r="C12" s="34">
        <v>482092000</v>
      </c>
      <c r="D12" s="34">
        <v>492290000</v>
      </c>
      <c r="E12" s="34">
        <v>504038000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2026-09-19T00:06:09Z</dcterms:modified>
</cp:coreProperties>
</file>