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<sst xmlns="http://schemas.openxmlformats.org/spreadsheetml/2006/main" count="121" uniqueCount="108">
  <si>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Lumentum Holdings Inc. (LITE)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</si>
  <si>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</si>
  <si>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</si>
  <si>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</si>
  <si>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</si>
  <si>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</si>
  <si>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</si>
  <si>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</si>
  <si>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</si>
  <si>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</si>
  <si>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</si>
  <si>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</si>
  <si>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</si>
  <si>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</si>
  <si>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</si>
  <si>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</si>
  <si>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</si>
  <si>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</si>
  <si>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</si>
  <si>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</si>
  <si>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</si>
  <si>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</si>
  <si>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</si>
  <si>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</si>
  <si>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24.6x interest cover. Book interest / average debt was lower, at 1.0%.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</si>
  <si>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</si>
  <si>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</si>
  <si>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</si>
  <si>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</si>
  <si>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</si>
  <si>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</si>
  <si>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</si>
  <si>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</si>
  <si>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</si>
  <si>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</si>
  <si>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</si>
  <si>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</si>
  <si>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</si>
  <si>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</si>
  <si>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</si>
  <si>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</si>
  <si>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</si>
  <si>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</si>
  <si>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</si>
  <si>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</si>
  <si>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</si>
  <si>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</si>
  <si>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</si>
  <si>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</si>
  <si>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</si>
  <si>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</si>
  <si>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</si>
  <si>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</si>
  <si>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</si>
  <si>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</si>
  <si>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</si>
  <si>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</si>
  <si>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</si>
  <si>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</si>
  <si>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</si>
  <si>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</si>
  <si>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</si>
  <si>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</si>
  <si>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</si>
  <si>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</si>
  <si>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</si>
  <si>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</si>
  <si>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</si>
  <si>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</si>
  <si>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</si>
  <si>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</si>
  <si>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</si>
  <si>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</si>
  <si>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</si>
  <si>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</si>
  <si>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</si>
  <si>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</si>
  <si>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</si>
  <si>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</si>
  <si>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</si>
  <si>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</si>
  <si>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</si>
  <si>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</si>
  <si>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</si>
  <si>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</si>
  <si>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</si>
  <si>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</si>
  <si>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</si>
  <si>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</si>
  <si>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</si>
  <si>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</si>
  <si>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</si>
  <si>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</si>
  <si>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</si>
  <si>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</si>
  <si>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</si>
  <si>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</si>
  <si>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</si>
  <si>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</si>
  <si>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</si>
  <si>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</si>
  <si>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</si>
  <si>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</si>
  <si>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</si>
  <si>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</si>
  <si>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</si>
  <si>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Current EV/EBITDA of 93.5x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</si>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</sst>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-0.06360075994482897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0.1507171747767071</v>
      </c>
    </row>
    <row r="10" spans="1:3" x14ac:dyDescent="0.25">
      <c r="A10" t="s">
        <v>7</v>
      </c>
      <c r="B10" s="5">
        <v>0.11591920421566623</v>
      </c>
      <c r="C10" s="6" t="s">
        <v>8</v>
      </c>
    </row>
    <row r="11" spans="1:2" x14ac:dyDescent="0.25">
      <c r="A11" t="s">
        <v>9</v>
      </c>
      <c r="B11" s="5">
        <v>0.2877486784910113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0.10504337764869486</v>
      </c>
      <c r="C14" s="6" t="s">
        <v>13</v>
      </c>
    </row>
    <row r="15" spans="1:3" x14ac:dyDescent="0.25">
      <c r="A15" t="s">
        <v>14</v>
      </c>
      <c r="B15" s="5">
        <v>0.061959449659853116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1.3591199999999999</v>
      </c>
      <c r="C19" s="6" t="s">
        <v>21</v>
      </c>
    </row>
    <row r="20" spans="1:2" x14ac:dyDescent="0.25">
      <c r="A20" t="s">
        <v>22</v>
      </c>
      <c r="B20" s="9">
        <f>B17+B19*B18</f>
        <v>0.106430776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76153012224</v>
      </c>
    </row>
    <row r="23" spans="1:2" x14ac:dyDescent="0.25">
      <c r="A23" t="s">
        <v>26</v>
      </c>
      <c r="B23" s="10">
        <v>1671200000</v>
      </c>
    </row>
    <row r="24" spans="1:2" x14ac:dyDescent="0.25">
      <c r="A24" t="s">
        <v>27</v>
      </c>
      <c r="B24" s="9">
        <f>B22/(B22+B23)</f>
        <v>0.9785259631643966</v>
      </c>
    </row>
    <row r="25" spans="1:2" x14ac:dyDescent="0.25">
      <c r="A25" t="s">
        <v>28</v>
      </c>
      <c r="B25" s="9">
        <f>1-B24</f>
        <v>0.02147403683560345</v>
      </c>
    </row>
    <row r="26" spans="1:2" x14ac:dyDescent="0.25">
      <c r="A26" t="s">
        <v>29</v>
      </c>
      <c r="B26" s="11">
        <f>B24*B20+B25*B21*(1-B8)</f>
        <v>0.10504337764869486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3014000000</v>
      </c>
      <c r="C29" s="6" t="s">
        <v>32</v>
      </c>
    </row>
    <row r="30" spans="1:2" x14ac:dyDescent="0.25">
      <c r="A30" t="s">
        <v>33</v>
      </c>
      <c r="B30" s="10">
        <v>-1067200000</v>
      </c>
    </row>
    <row r="31" spans="1:2" x14ac:dyDescent="0.25">
      <c r="A31" t="s">
        <v>34</v>
      </c>
      <c r="B31" s="12">
        <v>74600000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9">
        <f>Assumptions!B6</f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4521000000</v>
      </c>
      <c r="C6" s="18">
        <f>B6*(1+C5)</f>
        <v>6781500000</v>
      </c>
      <c r="D6" s="18">
        <f>C6*(1+D5)</f>
        <v>9769598437.5</v>
      </c>
      <c r="E6" s="18">
        <f>D6*(1+E5)</f>
        <v>13494257841.796875</v>
      </c>
      <c r="F6" s="18">
        <f>E6*(1+F5)</f>
        <v>17837722084.625244</v>
      </c>
      <c r="G6" s="18">
        <f>F6*(1+G5)</f>
        <v>22520124131.83937</v>
      </c>
      <c r="H6" s="18">
        <f>G6*(1+H5)</f>
        <v>27094524346.119244</v>
      </c>
      <c r="I6" s="18">
        <f>H6*(1+I5)</f>
        <v>30989362220.873886</v>
      </c>
      <c r="J6" s="18">
        <f>I6*(1+J5)</f>
        <v>33604089658.260124</v>
      </c>
      <c r="K6" s="18">
        <f>J6*(1+K5)</f>
        <v>34444191899.71662</v>
      </c>
    </row>
    <row r="7" spans="1:11" x14ac:dyDescent="0.25">
      <c r="A7" t="s">
        <v>4</v>
      </c>
      <c r="B7" s="9">
        <f>Assumptions!B7</f>
        <v>-0.06360075994482897</v>
      </c>
      <c r="C7" s="9">
        <f>Assumptions!B7</f>
        <v>-0.06360075994482897</v>
      </c>
      <c r="D7" s="9">
        <f>Assumptions!B7</f>
        <v>-0.06360075994482897</v>
      </c>
      <c r="E7" s="9">
        <f>Assumptions!B7</f>
        <v>-0.06360075994482897</v>
      </c>
      <c r="F7" s="9">
        <f>Assumptions!B7</f>
        <v>-0.06360075994482897</v>
      </c>
      <c r="G7" s="9">
        <f>Assumptions!B7</f>
        <v>-0.06360075994482897</v>
      </c>
      <c r="H7" s="9">
        <f>Assumptions!B7</f>
        <v>-0.06360075994482897</v>
      </c>
      <c r="I7" s="9">
        <f>Assumptions!B7</f>
        <v>-0.06360075994482897</v>
      </c>
      <c r="J7" s="9">
        <f>Assumptions!B7</f>
        <v>-0.06360075994482897</v>
      </c>
      <c r="K7" s="9">
        <f>Assumptions!B7</f>
        <v>-0.06360075994482897</v>
      </c>
    </row>
    <row r="8" spans="1:11" x14ac:dyDescent="0.25">
      <c r="A8" t="s">
        <v>51</v>
      </c>
      <c r="B8" s="18">
        <f>B6*B7</f>
        <v>-287539035.71057177</v>
      </c>
      <c r="C8" s="18">
        <f>C6*C7</f>
        <v>-431308553.56585765</v>
      </c>
      <c r="D8" s="18">
        <f>D6*D7</f>
        <v>-621353884.9808137</v>
      </c>
      <c r="E8" s="18">
        <f>E6*E7</f>
        <v>-858245053.629749</v>
      </c>
      <c r="F8" s="18">
        <f>F6*F7</f>
        <v>-1134492680.2668245</v>
      </c>
      <c r="G8" s="18">
        <f>G6*G7</f>
        <v>-1432297008.8368657</v>
      </c>
      <c r="H8" s="18">
        <f>H6*H7</f>
        <v>-1723232338.7568543</v>
      </c>
      <c r="I8" s="18">
        <f>I6*I7</f>
        <v>-1970946987.453152</v>
      </c>
      <c r="J8" s="18">
        <f>J6*J7</f>
        <v>-2137245639.519512</v>
      </c>
      <c r="K8" s="18">
        <f>K6*K7</f>
        <v>-2190676780.507499</v>
      </c>
    </row>
    <row r="9" spans="1:11" x14ac:dyDescent="0.25">
      <c r="A9" t="s">
        <v>52</v>
      </c>
      <c r="B9" s="18">
        <f>B8*(1-Assumptions!B8)</f>
        <v>-227155838.2113517</v>
      </c>
      <c r="C9" s="18">
        <f>C8*(1-Assumptions!B8)</f>
        <v>-340733757.31702757</v>
      </c>
      <c r="D9" s="18">
        <f>D8*(1-Assumptions!B8)</f>
        <v>-490869569.1348429</v>
      </c>
      <c r="E9" s="18">
        <f>E8*(1-Assumptions!B8)</f>
        <v>-678013592.3675017</v>
      </c>
      <c r="F9" s="18">
        <f>F8*(1-Assumptions!B8)</f>
        <v>-896249217.4107914</v>
      </c>
      <c r="G9" s="18">
        <f>G8*(1-Assumptions!B8)</f>
        <v>-1131514636.981124</v>
      </c>
      <c r="H9" s="18">
        <f>H8*(1-Assumptions!B8)</f>
        <v>-1361353547.617915</v>
      </c>
      <c r="I9" s="18">
        <f>I8*(1-Assumptions!B8)</f>
        <v>-1557048120.08799</v>
      </c>
      <c r="J9" s="18">
        <f>J8*(1-Assumptions!B8)</f>
        <v>-1688424055.2204144</v>
      </c>
      <c r="K9" s="18">
        <f>K8*(1-Assumptions!B8)</f>
        <v>-1730634656.6009245</v>
      </c>
    </row>
    <row r="10" spans="1:11" x14ac:dyDescent="0.25">
      <c r="A10" t="s">
        <v>53</v>
      </c>
      <c r="B10" s="18">
        <f>B6*Assumptions!B9</f>
        <v>681392347.1654928</v>
      </c>
      <c r="C10" s="18">
        <f>C6*Assumptions!B9</f>
        <v>1022088520.7482392</v>
      </c>
      <c r="D10" s="18">
        <f>D6*Assumptions!B9</f>
        <v>1472446275.2029321</v>
      </c>
      <c r="E10" s="18">
        <f>E6*Assumptions!B9</f>
        <v>2033816417.62405</v>
      </c>
      <c r="F10" s="18">
        <f>F6*Assumptions!B9</f>
        <v>2688451077.046791</v>
      </c>
      <c r="G10" s="18">
        <f>G6*Assumptions!B9</f>
        <v>3394169484.7715735</v>
      </c>
      <c r="H10" s="18">
        <f>H6*Assumptions!B9</f>
        <v>4083610161.3657994</v>
      </c>
      <c r="I10" s="18">
        <f>I6*Assumptions!B9</f>
        <v>4670629122.062134</v>
      </c>
      <c r="J10" s="18">
        <f>J6*Assumptions!B9</f>
        <v>5064713454.236127</v>
      </c>
      <c r="K10" s="18">
        <f>K6*Assumptions!B9</f>
        <v>5191331290.592029</v>
      </c>
    </row>
    <row r="11" spans="1:11" x14ac:dyDescent="0.25">
      <c r="A11" t="s">
        <v>54</v>
      </c>
      <c r="B11" s="18">
        <f>-B6*B19</f>
        <v>-524070722.25902706</v>
      </c>
      <c r="C11" s="18">
        <f>-C6*C19</f>
        <v>-749011426.6459137</v>
      </c>
      <c r="D11" s="18">
        <f>-D6*D19</f>
        <v>-1025605096.6419225</v>
      </c>
      <c r="E11" s="18">
        <f>-E6*E19</f>
        <v>-1342803744.3539293</v>
      </c>
      <c r="F11" s="18">
        <f>-F6*F19</f>
        <v>-1677446749.7338095</v>
      </c>
      <c r="G11" s="18">
        <f>-G6*G19</f>
        <v>-1994591934.8734577</v>
      </c>
      <c r="H11" s="18">
        <f>-H6*H19</f>
        <v>-2251536965.8127275</v>
      </c>
      <c r="I11" s="18">
        <f>-I6*I19</f>
        <v>-2405684270.7905693</v>
      </c>
      <c r="J11" s="18">
        <f>-J6*J19</f>
        <v>-2424850245.3615403</v>
      </c>
      <c r="K11" s="18">
        <f>-K6*K19</f>
        <v>-2297062524.824169</v>
      </c>
    </row>
    <row r="12" spans="1:11" x14ac:dyDescent="0.25">
      <c r="A12" t="s">
        <v>55</v>
      </c>
      <c r="B12" s="18">
        <f>-(B6-Assumptions!B29)*Assumptions!B11</f>
        <v>-433637258.48595405</v>
      </c>
      <c r="C12" s="18">
        <f>-(C6-B6)*Assumptions!B11</f>
        <v>-650455887.7289311</v>
      </c>
      <c r="D12" s="18">
        <f>-(D6-C6)*Assumptions!B11</f>
        <v>-859821376.5916808</v>
      </c>
      <c r="E12" s="18">
        <f>-(E6-D6)*Assumptions!B11</f>
        <v>-1071765821.4155432</v>
      </c>
      <c r="F12" s="18">
        <f>-(F6-E6)*Assumptions!B11</f>
        <v>-1249826095.9468243</v>
      </c>
      <c r="G12" s="18">
        <f>-(G6-F6)*Assumptions!B11</f>
        <v>-1347355001.249471</v>
      </c>
      <c r="H12" s="18">
        <f>-(H6-G6)*Assumptions!B11</f>
        <v>-1316277616.5480325</v>
      </c>
      <c r="I12" s="18">
        <f>-(I6-H6)*Assumptions!B11</f>
        <v>-1120734451.3973875</v>
      </c>
      <c r="J12" s="18">
        <f>-(J6-I6)*Assumptions!B11</f>
        <v>-752384364.7220786</v>
      </c>
      <c r="K12" s="18">
        <f>-(K6-J6)*Assumptions!B11</f>
        <v>-241738309.77644357</v>
      </c>
    </row>
    <row r="13" spans="1:11" x14ac:dyDescent="0.25">
      <c r="A13" s="19" t="s">
        <v>56</v>
      </c>
      <c r="B13" s="20">
        <f>B9+B10+B11+B12</f>
        <v>-503471471.79084</v>
      </c>
      <c r="C13" s="20">
        <f>C9+C10+C11+C12</f>
        <v>-718112550.9436332</v>
      </c>
      <c r="D13" s="20">
        <f>D9+D10+D11+D12</f>
        <v>-903849767.165514</v>
      </c>
      <c r="E13" s="20">
        <f>E9+E10+E11+E12</f>
        <v>-1058766740.5129243</v>
      </c>
      <c r="F13" s="20">
        <f>F9+F10+F11+F12</f>
        <v>-1135070986.044634</v>
      </c>
      <c r="G13" s="20">
        <f>G9+G10+G11+G12</f>
        <v>-1079292088.332479</v>
      </c>
      <c r="H13" s="20">
        <f>H9+H10+H11+H12</f>
        <v>-845557968.6128752</v>
      </c>
      <c r="I13" s="20">
        <f>I9+I10+I11+I12</f>
        <v>-412837720.2138128</v>
      </c>
      <c r="J13" s="20">
        <f>J9+J10+J11+J12</f>
        <v>199054788.93209386</v>
      </c>
      <c r="K13" s="20">
        <f>K9+K10+K11+K12</f>
        <v>921895799.3904914</v>
      </c>
    </row>
    <row r="14" spans="1:11" x14ac:dyDescent="0.25">
      <c r="A14" t="s">
        <v>57</v>
      </c>
      <c r="B14" s="21">
        <f>1/(1+Assumptions!$B$26)^(1-0.5*Assumptions!$B$32)</f>
        <v>0.9512843167832222</v>
      </c>
      <c r="C14" s="21">
        <f>1/(1+Assumptions!$B$26)^(2-0.5*Assumptions!$B$32)</f>
        <v>0.8608569907973747</v>
      </c>
      <c r="D14" s="21">
        <f>1/(1+Assumptions!$B$26)^(3-0.5*Assumptions!$B$32)</f>
        <v>0.7790255190064136</v>
      </c>
      <c r="E14" s="21">
        <f>1/(1+Assumptions!$B$26)^(4-0.5*Assumptions!$B$32)</f>
        <v>0.7049727954245739</v>
      </c>
      <c r="F14" s="21">
        <f>1/(1+Assumptions!$B$26)^(5-0.5*Assumptions!$B$32)</f>
        <v>0.6379593866483424</v>
      </c>
      <c r="G14" s="21">
        <f>1/(1+Assumptions!$B$26)^(6-0.5*Assumptions!$B$32)</f>
        <v>0.5773161484445877</v>
      </c>
      <c r="H14" s="21">
        <f>1/(1+Assumptions!$B$26)^(7-0.5*Assumptions!$B$32)</f>
        <v>0.5224375441921546</v>
      </c>
      <c r="I14" s="21">
        <f>1/(1+Assumptions!$B$26)^(8-0.5*Assumptions!$B$32)</f>
        <v>0.4727755984600299</v>
      </c>
      <c r="J14" s="21">
        <f>1/(1+Assumptions!$B$26)^(9-0.5*Assumptions!$B$32)</f>
        <v>0.4278344253471744</v>
      </c>
      <c r="K14" s="21">
        <f>1/(1+Assumptions!$B$26)^(10-0.5*Assumptions!$B$32)</f>
        <v>0.387165276948239</v>
      </c>
    </row>
    <row r="15" spans="1:11" x14ac:dyDescent="0.25">
      <c r="A15" s="19" t="s">
        <v>58</v>
      </c>
      <c r="B15" s="20">
        <f>B13*B14</f>
        <v>-478944515.0623926</v>
      </c>
      <c r="C15" s="20">
        <f>C13*C14</f>
        <v>-618192209.6591625</v>
      </c>
      <c r="D15" s="20">
        <f>D13*D14</f>
        <v>-704122033.9699407</v>
      </c>
      <c r="E15" s="20">
        <f>E13*E14</f>
        <v>-746401748.7619607</v>
      </c>
      <c r="F15" s="20">
        <f>F13*F14</f>
        <v>-724129190.059364</v>
      </c>
      <c r="G15" s="20">
        <f>G13*G14</f>
        <v>-623092751.4828225</v>
      </c>
      <c r="H15" s="20">
        <f>H13*H14</f>
        <v>-441751228.5942175</v>
      </c>
      <c r="I15" s="20">
        <f>I13*I14</f>
        <v>-195179600.24095976</v>
      </c>
      <c r="J15" s="20">
        <f>J13*J14</f>
        <v>85162491.23536547</v>
      </c>
      <c r="K15" s="20">
        <f>K13*K14</f>
        <v>356926042.4884378</v>
      </c>
    </row>
    <row r="17" spans="1:2" x14ac:dyDescent="0.25">
      <c r="A17" s="22" t="s">
        <v>59</v>
      </c>
      <c r="B17" s="23">
        <f>SUM(B15:K15)</f>
        <v>-4089724744.1070175</v>
      </c>
    </row>
    <row r="19" spans="1:11" x14ac:dyDescent="0.25">
      <c r="A19" t="s">
        <v>7</v>
      </c>
      <c r="B19" s="9">
        <f>Assumptions!$B$10+($B$20-Assumptions!$B$10)*0/9</f>
        <v>0.11591920421566623</v>
      </c>
      <c r="C19" s="9">
        <f>Assumptions!$B$10+($B$20-Assumptions!$B$10)*1/9</f>
        <v>0.11044922607769869</v>
      </c>
      <c r="D19" s="9">
        <f>Assumptions!$B$10+($B$20-Assumptions!$B$10)*2/9</f>
        <v>0.10497924793973114</v>
      </c>
      <c r="E19" s="9">
        <f>Assumptions!$B$10+($B$20-Assumptions!$B$10)*3/9</f>
        <v>0.0995092698017636</v>
      </c>
      <c r="F19" s="9">
        <f>Assumptions!$B$10+($B$20-Assumptions!$B$10)*4/9</f>
        <v>0.09403929166379606</v>
      </c>
      <c r="G19" s="9">
        <f>Assumptions!$B$10+($B$20-Assumptions!$B$10)*5/9</f>
        <v>0.0885693135258285</v>
      </c>
      <c r="H19" s="9">
        <f>Assumptions!$B$10+($B$20-Assumptions!$B$10)*6/9</f>
        <v>0.08309933538786096</v>
      </c>
      <c r="I19" s="9">
        <f>Assumptions!$B$10+($B$20-Assumptions!$B$10)*7/9</f>
        <v>0.07762935724989342</v>
      </c>
      <c r="J19" s="9">
        <f>Assumptions!$B$10+($B$20-Assumptions!$B$10)*8/9</f>
        <v>0.07215937911192588</v>
      </c>
      <c r="K19" s="9">
        <f>Assumptions!$B$10+($B$20-Assumptions!$B$10)*9/9</f>
        <v>0.06668940097395833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0.06668940097395833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921895799.3904914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684543955.4397767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0.23799691669863798</v>
      </c>
    </row>
    <row r="7" spans="1:2" x14ac:dyDescent="0.25">
      <c r="A7" t="s">
        <v>66</v>
      </c>
      <c r="B7" s="18">
        <f>-MAX(B5,0)*B6</f>
        <v>-162919350.73935667</v>
      </c>
    </row>
    <row r="8" spans="1:2" x14ac:dyDescent="0.25">
      <c r="A8" t="s">
        <v>67</v>
      </c>
      <c r="B8" s="18">
        <f>IF(OR(Assumptions!$B$33=0,Assumptions!B12&lt;=0),B5,MAX(B5+B7,0))</f>
        <v>521624604.70042</v>
      </c>
    </row>
    <row r="9" spans="1:2" x14ac:dyDescent="0.25">
      <c r="A9" t="s">
        <v>68</v>
      </c>
      <c r="B9" s="18">
        <f>B8*(1+Assumptions!B12)/(Assumptions!B26-Assumptions!B12)</f>
        <v>6679693380.313624</v>
      </c>
    </row>
    <row r="10" spans="1:2" x14ac:dyDescent="0.25">
      <c r="A10" t="s">
        <v>69</v>
      </c>
      <c r="B10" s="18">
        <f>B9/(1+Assumptions!B26)^(10-0.5*Assumptions!B32)</f>
        <v>2586145337.518443</v>
      </c>
    </row>
    <row r="11" spans="1:2" x14ac:dyDescent="0.25">
      <c r="A11" t="s">
        <v>70</v>
      </c>
      <c r="B11" s="18">
        <f>Forecast!B17+B10</f>
        <v>-1503579406.5885744</v>
      </c>
    </row>
    <row r="12" spans="1:2" x14ac:dyDescent="0.25">
      <c r="A12" t="s">
        <v>71</v>
      </c>
      <c r="B12" s="18">
        <f>-Assumptions!B30</f>
        <v>1067200000</v>
      </c>
    </row>
    <row r="13" spans="1:2" x14ac:dyDescent="0.25">
      <c r="A13" t="s">
        <v>72</v>
      </c>
      <c r="B13" s="18">
        <f>B11+B12</f>
        <v>-436379406.5885744</v>
      </c>
    </row>
    <row r="14" spans="1:2" x14ac:dyDescent="0.25">
      <c r="A14" s="19" t="s">
        <v>73</v>
      </c>
      <c r="B14" s="24">
        <f>B13/Assumptions!B31</f>
        <v>-5.849589900651131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3000654510.0845294</v>
      </c>
    </row>
    <row r="18" spans="1:2" x14ac:dyDescent="0.25">
      <c r="A18" t="s">
        <v>68</v>
      </c>
      <c r="B18" s="18">
        <f>B17*Assumptions!B13</f>
        <v>60013090201.69059</v>
      </c>
    </row>
    <row r="19" spans="1:2" x14ac:dyDescent="0.25">
      <c r="A19" t="s">
        <v>69</v>
      </c>
      <c r="B19" s="18">
        <f>B18/(1+Assumptions!B26)^(10-0.5*Assumptions!B32)</f>
        <v>23234984688.457184</v>
      </c>
    </row>
    <row r="20" spans="1:2" x14ac:dyDescent="0.25">
      <c r="A20" t="s">
        <v>70</v>
      </c>
      <c r="B20" s="18">
        <f>Forecast!B17+B19</f>
        <v>19145259944.350166</v>
      </c>
    </row>
    <row r="21" spans="1:2" x14ac:dyDescent="0.25">
      <c r="A21" t="s">
        <v>71</v>
      </c>
      <c r="B21" s="18">
        <f>-Assumptions!B30</f>
        <v>1067200000</v>
      </c>
    </row>
    <row r="22" spans="1:2" x14ac:dyDescent="0.25">
      <c r="A22" t="s">
        <v>72</v>
      </c>
      <c r="B22" s="18">
        <f>B20+B21</f>
        <v>20212459944.350166</v>
      </c>
    </row>
    <row r="23" spans="1:2" x14ac:dyDescent="0.25">
      <c r="A23" s="19" t="s">
        <v>73</v>
      </c>
      <c r="B23" s="25">
        <f>B22/Assumptions!B31</f>
        <v>270.9445032754714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840.7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-5.849589900651131</v>
      </c>
    </row>
    <row r="29" spans="1:2" x14ac:dyDescent="0.25">
      <c r="A29" s="19" t="s">
        <v>81</v>
      </c>
      <c r="B29" s="11">
        <f>B28/B26-1</f>
        <v>-1.006957999168135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0.085043</v>
      </c>
      <c r="B5" s="31">
        <v>7.993996427824696</v>
      </c>
      <c r="C5" s="31">
        <v>7.086868415757868</v>
      </c>
      <c r="D5" s="31">
        <v>6.1797404036910155</v>
      </c>
      <c r="E5" s="31">
        <v>5.2726123916241825</v>
      </c>
      <c r="F5" s="31">
        <v>4.365484379557342</v>
      </c>
    </row>
    <row r="6" spans="1:6" x14ac:dyDescent="0.25">
      <c r="A6" s="30">
        <v>0.095043</v>
      </c>
      <c r="B6" s="31">
        <v>0.7832212330598423</v>
      </c>
      <c r="C6" s="31">
        <v>0.01883599272090692</v>
      </c>
      <c r="D6" s="31">
        <v>-0.7455492476180348</v>
      </c>
      <c r="E6" s="31">
        <v>-1.50993448795697</v>
      </c>
      <c r="F6" s="31">
        <v>-2.2743197282959247</v>
      </c>
    </row>
    <row r="7" spans="1:6" x14ac:dyDescent="0.25">
      <c r="A7" s="30">
        <v>0.105043</v>
      </c>
      <c r="B7" s="31">
        <v>-4.5457482421834285</v>
      </c>
      <c r="C7" s="31">
        <v>-5.197586365149622</v>
      </c>
      <c r="D7" s="32">
        <v>-5.849424488115841</v>
      </c>
      <c r="E7" s="31">
        <v>-6.501262611081996</v>
      </c>
      <c r="F7" s="31">
        <v>-7.1531007340481905</v>
      </c>
    </row>
    <row r="8" spans="1:6" x14ac:dyDescent="0.25">
      <c r="A8" s="30">
        <v>0.115043</v>
      </c>
      <c r="B8" s="31">
        <v>-8.520316334024693</v>
      </c>
      <c r="C8" s="31">
        <v>-9.081705860877184</v>
      </c>
      <c r="D8" s="31">
        <v>-9.643095387729723</v>
      </c>
      <c r="E8" s="31">
        <v>-10.204484914582254</v>
      </c>
      <c r="F8" s="31">
        <v>-10.765874441434761</v>
      </c>
    </row>
    <row r="9" spans="1:6" x14ac:dyDescent="0.25">
      <c r="A9" s="30">
        <v>0.125043</v>
      </c>
      <c r="B9" s="31">
        <v>-11.496280771807582</v>
      </c>
      <c r="C9" s="31">
        <v>-11.983831820615428</v>
      </c>
      <c r="D9" s="31">
        <v>-12.471382869423277</v>
      </c>
      <c r="E9" s="31">
        <v>-12.958933918231157</v>
      </c>
      <c r="F9" s="31">
        <v>-13.446484967039012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3014000000</v>
      </c>
      <c r="C5" s="18">
        <v>1645000000</v>
      </c>
      <c r="D5" s="18">
        <v>1359200000</v>
      </c>
      <c r="E5" s="18">
        <v>1767000000</v>
      </c>
      <c r="F5" s="6" t="s">
        <v>91</v>
      </c>
    </row>
    <row r="6" spans="1:6" x14ac:dyDescent="0.25">
      <c r="A6" t="s">
        <v>51</v>
      </c>
      <c r="B6" s="18">
        <v>536200000</v>
      </c>
      <c r="C6" s="18">
        <v>-192200000</v>
      </c>
      <c r="D6" s="18">
        <v>-361400000</v>
      </c>
      <c r="E6" s="18">
        <v>-87600000</v>
      </c>
      <c r="F6" s="6" t="s">
        <v>92</v>
      </c>
    </row>
    <row r="7" spans="1:6" x14ac:dyDescent="0.25">
      <c r="A7" t="s">
        <v>93</v>
      </c>
      <c r="B7" s="18">
        <v>267000000</v>
      </c>
      <c r="C7" s="18">
        <v>256700000</v>
      </c>
      <c r="D7" s="18">
        <v>290300000</v>
      </c>
      <c r="E7" s="18">
        <v>255600000</v>
      </c>
      <c r="F7" s="6" t="s">
        <v>94</v>
      </c>
    </row>
    <row r="8" spans="1:6" x14ac:dyDescent="0.25">
      <c r="A8" t="s">
        <v>95</v>
      </c>
      <c r="B8" s="18">
        <v>451300000</v>
      </c>
      <c r="C8" s="18">
        <v>231000000</v>
      </c>
      <c r="D8" s="18">
        <v>137000000</v>
      </c>
      <c r="E8" s="18">
        <v>128500000</v>
      </c>
      <c r="F8" s="6" t="s">
        <v>96</v>
      </c>
    </row>
    <row r="9" spans="1:6" x14ac:dyDescent="0.25">
      <c r="A9" t="s">
        <v>97</v>
      </c>
      <c r="B9" s="18">
        <v>292000000</v>
      </c>
      <c r="C9" s="18">
        <v>161400000</v>
      </c>
      <c r="D9" s="18">
        <v>11300000</v>
      </c>
      <c r="E9" s="18">
        <v>136600000</v>
      </c>
      <c r="F9" s="6" t="s">
        <v>98</v>
      </c>
    </row>
    <row r="10" spans="1:6" x14ac:dyDescent="0.25">
      <c r="A10" t="s">
        <v>99</v>
      </c>
      <c r="B10" s="18">
        <v>1671200000</v>
      </c>
      <c r="C10" s="18">
        <v>2608200000</v>
      </c>
      <c r="D10" s="18">
        <v>2559600000</v>
      </c>
      <c r="E10" s="18">
        <v>2873700000</v>
      </c>
      <c r="F10" s="6" t="s">
        <v>100</v>
      </c>
    </row>
    <row r="11" spans="1:6" x14ac:dyDescent="0.25">
      <c r="A11" t="s">
        <v>101</v>
      </c>
      <c r="B11" s="18">
        <v>2738400000</v>
      </c>
      <c r="C11" s="18">
        <v>877100000</v>
      </c>
      <c r="D11" s="18">
        <v>887000000</v>
      </c>
      <c r="E11" s="18">
        <v>2013600000</v>
      </c>
      <c r="F11" s="6" t="s">
        <v>102</v>
      </c>
    </row>
    <row r="12" spans="1:6" x14ac:dyDescent="0.25">
      <c r="A12" t="s">
        <v>34</v>
      </c>
      <c r="B12" s="34">
        <v>74600000</v>
      </c>
      <c r="C12" s="34">
        <v>69600000</v>
      </c>
      <c r="D12" s="34">
        <v>67300000</v>
      </c>
      <c r="E12" s="34">
        <v>68300000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