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<sst xmlns="http://schemas.openxmlformats.org/spreadsheetml/2006/main" count="114" uniqueCount="102">
  <si>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Lumentum Holdings Inc. (LITE)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</si>
  <si>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</si>
  <si>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</si>
  <si>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</si>
  <si>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</si>
  <si>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</si>
  <si>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</si>
  <si>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</si>
  <si>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</si>
  <si>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</si>
  <si>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</si>
  <si>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</si>
  <si>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</si>
  <si>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</si>
  <si>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</si>
  <si>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</si>
  <si>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</si>
  <si>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</si>
  <si>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</si>
  <si>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</si>
  <si>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</si>
  <si>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</si>
  <si>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</si>
  <si>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</si>
  <si>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</si>
  <si>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</si>
  <si>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</si>
  <si>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</si>
  <si>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</si>
  <si>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</si>
  <si>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</si>
  <si>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</si>
  <si>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</si>
  <si>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</si>
  <si>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</si>
  <si>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</si>
  <si>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</si>
  <si>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</si>
  <si>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</si>
  <si>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</si>
  <si>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</si>
  <si>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</si>
  <si>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</si>
  <si>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</si>
  <si>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</si>
  <si>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</si>
  <si>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</si>
  <si>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</si>
  <si>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</si>
  <si>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</si>
  <si>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</si>
  <si>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</si>
  <si>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</si>
  <si>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</si>
  <si>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</si>
  <si>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</si>
  <si>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</si>
  <si>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</si>
  <si>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</si>
  <si>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</si>
  <si>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</si>
  <si>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</si>
  <si>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</si>
  <si>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</si>
  <si>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</si>
  <si>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</si>
  <si>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</si>
  <si>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</si>
  <si>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</si>
  <si>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</si>
  <si>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</si>
  <si>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</si>
  <si>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</si>
  <si>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</si>
  <si>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</si>
  <si>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</si>
  <si>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</si>
  <si>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</si>
  <si>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</si>
  <si>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</si>
  <si>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</si>
  <si>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</si>
  <si>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</si>
  <si>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</si>
  <si>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</si>
  <si>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</si>
  <si>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</si>
  <si>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</si>
  <si>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</si>
  <si>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</si>
  <si>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</si>
  <si>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</si>
  <si>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</si>
  <si>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</si>
  <si>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</si>
  <si>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</si>
  <si>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</si>
  <si>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</si>
  <si>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1.2%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</si>
  <si>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</si>
  <si>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Current EV/EBITDA of 102.6x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</si>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</sst>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0.19481931003065855</v>
      </c>
    </row>
    <row r="7" spans="1:2" x14ac:dyDescent="0.25">
      <c r="A7" t="s">
        <v>5</v>
      </c>
      <c r="B7" s="6">
        <v>-0.06360075994482897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0.1507171747767071</v>
      </c>
    </row>
    <row r="10" spans="1:2" x14ac:dyDescent="0.25">
      <c r="A10" t="s">
        <v>8</v>
      </c>
      <c r="B10" s="6">
        <v>0.11591920421566623</v>
      </c>
    </row>
    <row r="11" spans="1:2" x14ac:dyDescent="0.25">
      <c r="A11" t="s">
        <v>9</v>
      </c>
      <c r="B11" s="6">
        <v>0.21329437545653762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0.12323959111724056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1.36247</v>
      </c>
      <c r="C19" s="8" t="s">
        <v>19</v>
      </c>
    </row>
    <row r="20" spans="1:2" x14ac:dyDescent="0.25">
      <c r="A20" t="s">
        <v>20</v>
      </c>
      <c r="B20" s="10">
        <f>B17+B19*B18</f>
        <v>0.12491585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83502620672</v>
      </c>
    </row>
    <row r="23" spans="1:2" x14ac:dyDescent="0.25">
      <c r="A23" t="s">
        <v>24</v>
      </c>
      <c r="B23" s="11">
        <v>1671200000</v>
      </c>
    </row>
    <row r="24" spans="1:2" x14ac:dyDescent="0.25">
      <c r="A24" t="s">
        <v>25</v>
      </c>
      <c r="B24" s="10">
        <f>B22/(B22+B23)</f>
        <v>0.9803789475825476</v>
      </c>
    </row>
    <row r="25" spans="1:2" x14ac:dyDescent="0.25">
      <c r="A25" t="s">
        <v>26</v>
      </c>
      <c r="B25" s="10">
        <f>1-B24</f>
        <v>0.019621052417452378</v>
      </c>
    </row>
    <row r="26" spans="1:2" x14ac:dyDescent="0.25">
      <c r="A26" t="s">
        <v>27</v>
      </c>
      <c r="B26" s="12">
        <f>B24*B20+B25*B21*(1-B8)</f>
        <v>0.12323959111724056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3014000000</v>
      </c>
      <c r="C29" s="8" t="s">
        <v>30</v>
      </c>
    </row>
    <row r="30" spans="1:2" x14ac:dyDescent="0.25">
      <c r="A30" t="s">
        <v>31</v>
      </c>
      <c r="B30" s="11">
        <v>-1067200000</v>
      </c>
    </row>
    <row r="31" spans="1:2" x14ac:dyDescent="0.25">
      <c r="A31" t="s">
        <v>32</v>
      </c>
      <c r="B31" s="13">
        <v>74600000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0.19481931003065855</v>
      </c>
      <c r="C5" s="10">
        <f>Assumptions!B6</f>
        <v>0.19481931003065855</v>
      </c>
      <c r="D5" s="10">
        <f>Assumptions!B6</f>
        <v>0.19481931003065855</v>
      </c>
      <c r="E5" s="10">
        <f>Assumptions!B6</f>
        <v>0.19481931003065855</v>
      </c>
      <c r="F5" s="10">
        <f>Assumptions!B6</f>
        <v>0.19481931003065855</v>
      </c>
    </row>
    <row r="6" spans="1:6" x14ac:dyDescent="0.25">
      <c r="A6" t="s">
        <v>43</v>
      </c>
      <c r="B6" s="18">
        <f>Assumptions!B29*(1+B5)</f>
        <v>3601185400.432405</v>
      </c>
      <c r="C6" s="18">
        <f>B6*(1+C5)</f>
        <v>4302765855.437127</v>
      </c>
      <c r="D6" s="18">
        <f>C6*(1+D5)</f>
        <v>5141027730.616864</v>
      </c>
      <c r="E6" s="18">
        <f>D6*(1+E5)</f>
        <v>6142599205.944124</v>
      </c>
      <c r="F6" s="18">
        <f>E6*(1+F5)</f>
        <v>7339296145.04103</v>
      </c>
    </row>
    <row r="7" spans="1:6" x14ac:dyDescent="0.25">
      <c r="A7" t="s">
        <v>5</v>
      </c>
      <c r="B7" s="10">
        <f>Assumptions!B7</f>
        <v>-0.06360075994482897</v>
      </c>
      <c r="C7" s="10">
        <f>Assumptions!B7</f>
        <v>-0.06360075994482897</v>
      </c>
      <c r="D7" s="10">
        <f>Assumptions!B7</f>
        <v>-0.06360075994482897</v>
      </c>
      <c r="E7" s="10">
        <f>Assumptions!B7</f>
        <v>-0.06360075994482897</v>
      </c>
      <c r="F7" s="10">
        <f>Assumptions!B7</f>
        <v>-0.06360075994482897</v>
      </c>
    </row>
    <row r="8" spans="1:6" x14ac:dyDescent="0.25">
      <c r="A8" t="s">
        <v>44</v>
      </c>
      <c r="B8" s="18">
        <f>B6*B7</f>
        <v>-229038128.1697242</v>
      </c>
      <c r="C8" s="18">
        <f>C6*C7</f>
        <v>-273659178.2704634</v>
      </c>
      <c r="D8" s="18">
        <f>D6*D7</f>
        <v>-326973270.56467205</v>
      </c>
      <c r="E8" s="18">
        <f>E6*E7</f>
        <v>-390673977.5345493</v>
      </c>
      <c r="F8" s="18">
        <f>F6*F7</f>
        <v>-466784812.2847632</v>
      </c>
    </row>
    <row r="9" spans="1:6" x14ac:dyDescent="0.25">
      <c r="A9" t="s">
        <v>45</v>
      </c>
      <c r="B9" s="18">
        <f>B8*(1-Assumptions!B8)</f>
        <v>-180940121.2540821</v>
      </c>
      <c r="C9" s="18">
        <f>C8*(1-Assumptions!B8)</f>
        <v>-216190750.83366612</v>
      </c>
      <c r="D9" s="18">
        <f>D8*(1-Assumptions!B8)</f>
        <v>-258308883.74609092</v>
      </c>
      <c r="E9" s="18">
        <f>E8*(1-Assumptions!B8)</f>
        <v>-308632442.25229394</v>
      </c>
      <c r="F9" s="18">
        <f>F8*(1-Assumptions!B8)</f>
        <v>-368760001.70496297</v>
      </c>
    </row>
    <row r="10" spans="1:6" x14ac:dyDescent="0.25">
      <c r="A10" t="s">
        <v>46</v>
      </c>
      <c r="B10" s="18">
        <f>B6*Assumptions!B9</f>
        <v>542760489.4002967</v>
      </c>
      <c r="C10" s="18">
        <f>C6*Assumptions!B9</f>
        <v>648500713.4571651</v>
      </c>
      <c r="D10" s="18">
        <f>D6*Assumptions!B9</f>
        <v>774841175.0072798</v>
      </c>
      <c r="E10" s="18">
        <f>E6*Assumptions!B9</f>
        <v>925795198.1055428</v>
      </c>
      <c r="F10" s="18">
        <f>F6*Assumptions!B9</f>
        <v>1106157979.8301616</v>
      </c>
    </row>
    <row r="11" spans="1:6" x14ac:dyDescent="0.25">
      <c r="A11" t="s">
        <v>47</v>
      </c>
      <c r="B11" s="18">
        <f>-B6*Assumptions!B10</f>
        <v>-417446545.85119975</v>
      </c>
      <c r="C11" s="18">
        <f>-C6*Assumptions!B10</f>
        <v>-498773193.88861215</v>
      </c>
      <c r="D11" s="18">
        <f>-D6*Assumptions!B10</f>
        <v>-595943843.3837794</v>
      </c>
      <c r="E11" s="18">
        <f>-E6*Assumptions!B10</f>
        <v>-712045211.7688261</v>
      </c>
      <c r="F11" s="18">
        <f>-F6*Assumptions!B10</f>
        <v>-850765368.6362631</v>
      </c>
    </row>
    <row r="12" spans="1:6" x14ac:dyDescent="0.25">
      <c r="A12" t="s">
        <v>48</v>
      </c>
      <c r="B12" s="18">
        <f>-(B6-Assumptions!B29)*Assumptions!B11</f>
        <v>-125243343.26242678</v>
      </c>
      <c r="C12" s="18">
        <f>-(C6-B6)*Assumptions!B11</f>
        <v>-149643164.9827457</v>
      </c>
      <c r="D12" s="18">
        <f>-(D6-C6)*Assumptions!B11</f>
        <v>-178796543.13548812</v>
      </c>
      <c r="E12" s="18">
        <f>-(E6-D6)*Assumptions!B11</f>
        <v>-213629562.3050109</v>
      </c>
      <c r="F12" s="18">
        <f>-(F6-E6)*Assumptions!B11</f>
        <v>-255248726.23542473</v>
      </c>
    </row>
    <row r="13" spans="1:6" x14ac:dyDescent="0.25">
      <c r="A13" s="19" t="s">
        <v>49</v>
      </c>
      <c r="B13" s="20">
        <f>B9+B10+B11+B12</f>
        <v>-180869520.96741194</v>
      </c>
      <c r="C13" s="20">
        <f>C9+C10+C11+C12</f>
        <v>-216106396.24785882</v>
      </c>
      <c r="D13" s="20">
        <f>D9+D10+D11+D12</f>
        <v>-258208095.25807866</v>
      </c>
      <c r="E13" s="20">
        <f>E9+E10+E11+E12</f>
        <v>-308512018.2205882</v>
      </c>
      <c r="F13" s="20">
        <f>F9+F10+F11+F12</f>
        <v>-368616116.7464893</v>
      </c>
    </row>
    <row r="14" spans="1:6" x14ac:dyDescent="0.25">
      <c r="A14" t="s">
        <v>50</v>
      </c>
      <c r="B14" s="21">
        <f>1/(1+Assumptions!$B$26)^(1-0.5*Assumptions!$B$32)</f>
        <v>0.9435475659479874</v>
      </c>
      <c r="C14" s="21">
        <f>1/(1+Assumptions!$B$26)^(2-0.5*Assumptions!$B$32)</f>
        <v>0.8400234227939553</v>
      </c>
      <c r="D14" s="21">
        <f>1/(1+Assumptions!$B$26)^(3-0.5*Assumptions!$B$32)</f>
        <v>0.7478577406254158</v>
      </c>
      <c r="E14" s="21">
        <f>1/(1+Assumptions!$B$26)^(4-0.5*Assumptions!$B$32)</f>
        <v>0.6658042919245324</v>
      </c>
      <c r="F14" s="21">
        <f>1/(1+Assumptions!$B$26)^(5-0.5*Assumptions!$B$32)</f>
        <v>0.5927535827527981</v>
      </c>
    </row>
    <row r="15" spans="1:6" x14ac:dyDescent="0.25">
      <c r="A15" s="19" t="s">
        <v>51</v>
      </c>
      <c r="B15" s="20">
        <f>B13*B14</f>
        <v>-170658996.26298</v>
      </c>
      <c r="C15" s="20">
        <f>C13*C14</f>
        <v>-181534434.66379315</v>
      </c>
      <c r="D15" s="20">
        <f>D13*D14</f>
        <v>-193102922.73089883</v>
      </c>
      <c r="E15" s="20">
        <f>E13*E14</f>
        <v>-205408625.84156716</v>
      </c>
      <c r="F15" s="20">
        <f>F13*F14</f>
        <v>-218498523.86190522</v>
      </c>
    </row>
    <row r="17" spans="1:2" x14ac:dyDescent="0.25">
      <c r="A17" s="22" t="s">
        <v>52</v>
      </c>
      <c r="B17" s="23">
        <f>SUM(B15:F15)</f>
        <v>-969203503.3611444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-368616116.7464893</v>
      </c>
    </row>
    <row r="5" spans="1:2" x14ac:dyDescent="0.25">
      <c r="A5" t="s">
        <v>56</v>
      </c>
      <c r="B5" s="18">
        <f>IF(Assumptions!$B$33=0,B4,B4-Forecast!F11-Forecast!F10-Forecast!F12)</f>
        <v>145861189.83129996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0.20285688854823403</v>
      </c>
    </row>
    <row r="7" spans="1:2" x14ac:dyDescent="0.25">
      <c r="A7" t="s">
        <v>58</v>
      </c>
      <c r="B7" s="18">
        <f>-MAX(Forecast!F9,0)*B6</f>
        <v>-29588947.129120823</v>
      </c>
    </row>
    <row r="8" spans="1:2" x14ac:dyDescent="0.25">
      <c r="A8" t="s">
        <v>59</v>
      </c>
      <c r="B8" s="18">
        <f>IF(OR(Assumptions!$B$33=0,Assumptions!B12&lt;=0),B5,MAX(B5+B7,0))</f>
        <v>116272242.70217913</v>
      </c>
    </row>
    <row r="9" spans="1:2" x14ac:dyDescent="0.25">
      <c r="A9" t="s">
        <v>60</v>
      </c>
      <c r="B9" s="18">
        <f>B8*(1+Assumptions!B12)/(Assumptions!B26-Assumptions!B12)</f>
        <v>1213146832.2939534</v>
      </c>
    </row>
    <row r="10" spans="1:2" x14ac:dyDescent="0.25">
      <c r="A10" t="s">
        <v>61</v>
      </c>
      <c r="B10" s="18">
        <f>B9/(1+Assumptions!B26)^(5-0.5*Assumptions!B32)</f>
        <v>719097131.2474488</v>
      </c>
    </row>
    <row r="11" spans="1:2" x14ac:dyDescent="0.25">
      <c r="A11" t="s">
        <v>62</v>
      </c>
      <c r="B11" s="18">
        <f>Forecast!B17+B10</f>
        <v>-250106372.11369562</v>
      </c>
    </row>
    <row r="12" spans="1:2" x14ac:dyDescent="0.25">
      <c r="A12" t="s">
        <v>63</v>
      </c>
      <c r="B12" s="18">
        <f>-Assumptions!B30</f>
        <v>1067200000</v>
      </c>
    </row>
    <row r="13" spans="1:2" x14ac:dyDescent="0.25">
      <c r="A13" t="s">
        <v>64</v>
      </c>
      <c r="B13" s="18">
        <f>B11+B12</f>
        <v>817093627.8863044</v>
      </c>
    </row>
    <row r="14" spans="1:2" x14ac:dyDescent="0.25">
      <c r="A14" s="19" t="s">
        <v>65</v>
      </c>
      <c r="B14" s="24">
        <f>B13/Assumptions!B31</f>
        <v>10.952997692845903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639373167.5453984</v>
      </c>
    </row>
    <row r="18" spans="1:2" x14ac:dyDescent="0.25">
      <c r="A18" t="s">
        <v>60</v>
      </c>
      <c r="B18" s="18">
        <f>B17*Assumptions!B13</f>
        <v>12787463350.907967</v>
      </c>
    </row>
    <row r="19" spans="1:2" x14ac:dyDescent="0.25">
      <c r="A19" t="s">
        <v>61</v>
      </c>
      <c r="B19" s="18">
        <f>B18/(1+Assumptions!B26)^(5-0.5*Assumptions!B32)</f>
        <v>7579814715.570798</v>
      </c>
    </row>
    <row r="20" spans="1:2" x14ac:dyDescent="0.25">
      <c r="A20" t="s">
        <v>62</v>
      </c>
      <c r="B20" s="18">
        <f>Forecast!B17+B19</f>
        <v>6610611212.209654</v>
      </c>
    </row>
    <row r="21" spans="1:2" x14ac:dyDescent="0.25">
      <c r="A21" t="s">
        <v>63</v>
      </c>
      <c r="B21" s="18">
        <f>-Assumptions!B30</f>
        <v>1067200000</v>
      </c>
    </row>
    <row r="22" spans="1:2" x14ac:dyDescent="0.25">
      <c r="A22" t="s">
        <v>64</v>
      </c>
      <c r="B22" s="18">
        <f>B20+B21</f>
        <v>7677811212.209654</v>
      </c>
    </row>
    <row r="23" spans="1:2" x14ac:dyDescent="0.25">
      <c r="A23" s="19" t="s">
        <v>65</v>
      </c>
      <c r="B23" s="25">
        <f>B22/Assumptions!B31</f>
        <v>102.91972134329295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930.91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10.952997692845903</v>
      </c>
    </row>
    <row r="29" spans="1:2" x14ac:dyDescent="0.25">
      <c r="A29" s="19" t="s">
        <v>73</v>
      </c>
      <c r="B29" s="12">
        <f>B28/B26-1</f>
        <v>-0.9882340959997788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0.10324</v>
      </c>
      <c r="B5" s="31">
        <v>13.036176197476578</v>
      </c>
      <c r="C5" s="31">
        <v>13.097032832454182</v>
      </c>
      <c r="D5" s="31">
        <v>13.157889467431776</v>
      </c>
      <c r="E5" s="31">
        <v>13.218746102409376</v>
      </c>
      <c r="F5" s="31">
        <v>13.279602737386975</v>
      </c>
    </row>
    <row r="6" spans="1:6" x14ac:dyDescent="0.25">
      <c r="A6" s="30">
        <v>0.11324</v>
      </c>
      <c r="B6" s="31">
        <v>11.818962778144954</v>
      </c>
      <c r="C6" s="31">
        <v>11.872237532533541</v>
      </c>
      <c r="D6" s="31">
        <v>11.925512286922121</v>
      </c>
      <c r="E6" s="31">
        <v>11.978787041310703</v>
      </c>
      <c r="F6" s="31">
        <v>12.032061795699287</v>
      </c>
    </row>
    <row r="7" spans="1:6" x14ac:dyDescent="0.25">
      <c r="A7" s="30">
        <v>0.12324</v>
      </c>
      <c r="B7" s="31">
        <v>10.858920143218734</v>
      </c>
      <c r="C7" s="31">
        <v>10.90594123571204</v>
      </c>
      <c r="D7" s="32">
        <v>10.952962328205345</v>
      </c>
      <c r="E7" s="31">
        <v>10.999983420698651</v>
      </c>
      <c r="F7" s="31">
        <v>11.047004513191956</v>
      </c>
    </row>
    <row r="8" spans="1:6" x14ac:dyDescent="0.25">
      <c r="A8" s="30">
        <v>0.13324</v>
      </c>
      <c r="B8" s="31">
        <v>10.094919569153133</v>
      </c>
      <c r="C8" s="31">
        <v>10.136711051449751</v>
      </c>
      <c r="D8" s="31">
        <v>10.17850253374637</v>
      </c>
      <c r="E8" s="31">
        <v>10.22029401604299</v>
      </c>
      <c r="F8" s="31">
        <v>10.262085498339609</v>
      </c>
    </row>
    <row r="9" spans="1:6" x14ac:dyDescent="0.25">
      <c r="A9" s="30">
        <v>0.14324</v>
      </c>
      <c r="B9" s="31">
        <v>9.483100796087422</v>
      </c>
      <c r="C9" s="31">
        <v>9.520467798987603</v>
      </c>
      <c r="D9" s="31">
        <v>9.55783480188778</v>
      </c>
      <c r="E9" s="31">
        <v>9.595201804787958</v>
      </c>
      <c r="F9" s="31">
        <v>9.63256880768814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3014000000</v>
      </c>
      <c r="C5" s="18">
        <v>1645000000</v>
      </c>
      <c r="D5" s="18">
        <v>1359200000</v>
      </c>
      <c r="E5" s="18">
        <v>1767000000</v>
      </c>
      <c r="F5" s="8" t="s">
        <v>84</v>
      </c>
    </row>
    <row r="6" spans="1:6" x14ac:dyDescent="0.25">
      <c r="A6" t="s">
        <v>44</v>
      </c>
      <c r="B6" s="18">
        <v>536200000</v>
      </c>
      <c r="C6" s="18">
        <v>-192200000</v>
      </c>
      <c r="D6" s="18">
        <v>-361400000</v>
      </c>
      <c r="E6" s="18">
        <v>-87600000</v>
      </c>
      <c r="F6" s="8" t="s">
        <v>85</v>
      </c>
    </row>
    <row r="7" spans="1:6" x14ac:dyDescent="0.25">
      <c r="A7" t="s">
        <v>86</v>
      </c>
      <c r="B7" s="18">
        <v>267000000</v>
      </c>
      <c r="C7" s="18">
        <v>256700000</v>
      </c>
      <c r="D7" s="18">
        <v>290300000</v>
      </c>
      <c r="E7" s="18">
        <v>255600000</v>
      </c>
      <c r="F7" s="8" t="s">
        <v>87</v>
      </c>
    </row>
    <row r="8" spans="1:6" x14ac:dyDescent="0.25">
      <c r="A8" t="s">
        <v>88</v>
      </c>
      <c r="B8" s="18">
        <v>451300000</v>
      </c>
      <c r="C8" s="18">
        <v>231000000</v>
      </c>
      <c r="D8" s="18">
        <v>137000000</v>
      </c>
      <c r="E8" s="18">
        <v>128500000</v>
      </c>
      <c r="F8" s="8" t="s">
        <v>89</v>
      </c>
    </row>
    <row r="9" spans="1:6" x14ac:dyDescent="0.25">
      <c r="A9" t="s">
        <v>90</v>
      </c>
      <c r="B9" s="18">
        <v>292000000</v>
      </c>
      <c r="C9" s="18">
        <v>161400000</v>
      </c>
      <c r="D9" s="18">
        <v>11300000</v>
      </c>
      <c r="E9" s="18">
        <v>136600000</v>
      </c>
      <c r="F9" s="8" t="s">
        <v>91</v>
      </c>
    </row>
    <row r="10" spans="1:6" x14ac:dyDescent="0.25">
      <c r="A10" t="s">
        <v>92</v>
      </c>
      <c r="B10" s="18">
        <v>1671200000</v>
      </c>
      <c r="C10" s="18">
        <v>2608200000</v>
      </c>
      <c r="D10" s="18">
        <v>2559600000</v>
      </c>
      <c r="E10" s="18">
        <v>2873700000</v>
      </c>
      <c r="F10" s="8" t="s">
        <v>93</v>
      </c>
    </row>
    <row r="11" spans="1:6" x14ac:dyDescent="0.25">
      <c r="A11" t="s">
        <v>94</v>
      </c>
      <c r="B11" s="18">
        <v>2738400000</v>
      </c>
      <c r="C11" s="18">
        <v>877100000</v>
      </c>
      <c r="D11" s="18">
        <v>887000000</v>
      </c>
      <c r="E11" s="18">
        <v>2013600000</v>
      </c>
      <c r="F11" s="8" t="s">
        <v>95</v>
      </c>
    </row>
    <row r="12" spans="1:6" x14ac:dyDescent="0.25">
      <c r="A12" t="s">
        <v>32</v>
      </c>
      <c r="B12" s="34">
        <v>74600000</v>
      </c>
      <c r="C12" s="34">
        <v>69600000</v>
      </c>
      <c r="D12" s="34">
        <v>67300000</v>
      </c>
      <c r="E12" s="34">
        <v>68300000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2026-09-19T00:06:10Z</dcterms:modified>
</cp:coreProperties>
</file>