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<sst xmlns="http://schemas.openxmlformats.org/spreadsheetml/2006/main" count="114" uniqueCount="102">
  <si>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Lloyds Banking Group plc (LLOY.L)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</si>
  <si>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</si>
  <si>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</si>
  <si>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</si>
  <si>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</si>
  <si>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</si>
  <si>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</si>
  <si>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</si>
  <si>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</si>
  <si>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</si>
  <si>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</si>
  <si>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</si>
  <si>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</si>
  <si>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</si>
  <si>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</si>
  <si>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</si>
  <si>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</si>
  <si>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</si>
  <si>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</si>
  <si>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</si>
  <si>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</si>
  <si>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</si>
  <si>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19.1% is not a credible funding cost, so risk-free + 2bp is assumed instead. Interest expense and reported debt are measuring different things - common for banks, whose interest expense includes deposits that total debt excludes.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</si>
  <si>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</si>
  <si>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</si>
  <si>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</si>
  <si>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</si>
  <si>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</si>
  <si>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</si>
  <si>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</si>
  <si>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</si>
  <si>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</si>
  <si>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</si>
  <si>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</si>
  <si>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</si>
  <si>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</si>
  <si>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</si>
  <si>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</si>
  <si>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</si>
  <si>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</si>
  <si>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</si>
  <si>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</si>
  <si>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</si>
  <si>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</si>
  <si>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</si>
  <si>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</si>
  <si>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</si>
  <si>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</si>
  <si>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</si>
  <si>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</si>
  <si>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</si>
  <si>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</si>
  <si>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</si>
  <si>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</si>
  <si>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</si>
  <si>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</si>
  <si>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</si>
  <si>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</si>
  <si>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</si>
  <si>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</si>
  <si>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</si>
  <si>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</si>
  <si>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</si>
  <si>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</si>
  <si>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</si>
  <si>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</si>
  <si>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</si>
  <si>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</si>
  <si>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</si>
  <si>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</si>
  <si>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</si>
  <si>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</si>
  <si>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</si>
  <si>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</si>
  <si>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</si>
  <si>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</si>
  <si>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</si>
  <si>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</si>
  <si>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</si>
  <si>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</si>
  <si>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</si>
  <si>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</si>
  <si>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</si>
  <si>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</si>
  <si>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</si>
  <si>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</si>
  <si>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</si>
  <si>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</si>
  <si>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</si>
  <si>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</si>
  <si>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</si>
  <si>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</si>
  <si>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</si>
  <si>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</si>
  <si>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</si>
  <si>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</si>
  <si>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</si>
  <si>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</si>
  <si>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</si>
  <si>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28.6% of revenue against depreciation of 16.5%.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</si>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</sst>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0.07659952035955997</v>
      </c>
    </row>
    <row r="7" spans="1:2" x14ac:dyDescent="0.25">
      <c r="A7" t="s">
        <v>5</v>
      </c>
      <c r="B7" s="6">
        <v>0.3355749118533326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0.1645910619920067</v>
      </c>
    </row>
    <row r="10" spans="1:2" x14ac:dyDescent="0.25">
      <c r="A10" t="s">
        <v>8</v>
      </c>
      <c r="B10" s="6">
        <v>0.2855718455655404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10.004497297297297</v>
      </c>
    </row>
    <row r="14" spans="1:3" x14ac:dyDescent="0.25">
      <c r="A14" t="s">
        <v>12</v>
      </c>
      <c r="B14" s="6">
        <v>0.06777585929290944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0.93702</v>
      </c>
      <c r="C19" s="8" t="s">
        <v>19</v>
      </c>
    </row>
    <row r="20" spans="1:2" x14ac:dyDescent="0.25">
      <c r="A20" t="s">
        <v>20</v>
      </c>
      <c r="B20" s="10">
        <f>B17+B19*B18</f>
        <v>0.0965361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62941593600</v>
      </c>
    </row>
    <row r="23" spans="1:2" x14ac:dyDescent="0.25">
      <c r="A23" t="s">
        <v>24</v>
      </c>
      <c r="B23" s="11">
        <v>95145000000</v>
      </c>
    </row>
    <row r="24" spans="1:2" x14ac:dyDescent="0.25">
      <c r="A24" t="s">
        <v>25</v>
      </c>
      <c r="B24" s="10">
        <f>B22/(B22+B23)</f>
        <v>0.3981463080876961</v>
      </c>
    </row>
    <row r="25" spans="1:2" x14ac:dyDescent="0.25">
      <c r="A25" t="s">
        <v>26</v>
      </c>
      <c r="B25" s="10">
        <f>1-B24</f>
        <v>0.6018536919123039</v>
      </c>
    </row>
    <row r="26" spans="1:2" x14ac:dyDescent="0.25">
      <c r="A26" t="s">
        <v>27</v>
      </c>
      <c r="B26" s="12">
        <f>B24*B20+B25*B21*(1-B8)</f>
        <v>0.06777585929290944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20028000000</v>
      </c>
      <c r="C29" s="8" t="s">
        <v>30</v>
      </c>
    </row>
    <row r="30" spans="1:2" x14ac:dyDescent="0.25">
      <c r="A30" t="s">
        <v>31</v>
      </c>
      <c r="B30" s="11">
        <v>38484000000</v>
      </c>
    </row>
    <row r="31" spans="1:2" x14ac:dyDescent="0.25">
      <c r="A31" t="s">
        <v>32</v>
      </c>
      <c r="B31" s="13">
        <v>60811594203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0.07659952035955997</v>
      </c>
      <c r="C5" s="10">
        <f>Assumptions!B6</f>
        <v>0.07659952035955997</v>
      </c>
      <c r="D5" s="10">
        <f>Assumptions!B6</f>
        <v>0.07659952035955997</v>
      </c>
      <c r="E5" s="10">
        <f>Assumptions!B6</f>
        <v>0.07659952035955997</v>
      </c>
      <c r="F5" s="10">
        <f>Assumptions!B6</f>
        <v>0.07659952035955997</v>
      </c>
    </row>
    <row r="6" spans="1:6" x14ac:dyDescent="0.25">
      <c r="A6" t="s">
        <v>43</v>
      </c>
      <c r="B6" s="18">
        <f>Assumptions!B29*(1+B5)</f>
        <v>21562135193.76127</v>
      </c>
      <c r="C6" s="18">
        <f>B6*(1+C5)</f>
        <v>23213784407.53137</v>
      </c>
      <c r="D6" s="18">
        <f>C6*(1+D5)</f>
        <v>24991949158.8785</v>
      </c>
      <c r="E6" s="18">
        <f>D6*(1+E5)</f>
        <v>26906320477.299103</v>
      </c>
      <c r="F6" s="18">
        <f>E6*(1+F5)</f>
        <v>28967331720.50082</v>
      </c>
    </row>
    <row r="7" spans="1:6" x14ac:dyDescent="0.25">
      <c r="A7" t="s">
        <v>5</v>
      </c>
      <c r="B7" s="10">
        <f>Assumptions!B7</f>
        <v>0.3355749118533326</v>
      </c>
      <c r="C7" s="10">
        <f>Assumptions!B7</f>
        <v>0.3355749118533326</v>
      </c>
      <c r="D7" s="10">
        <f>Assumptions!B7</f>
        <v>0.3355749118533326</v>
      </c>
      <c r="E7" s="10">
        <f>Assumptions!B7</f>
        <v>0.3355749118533326</v>
      </c>
      <c r="F7" s="10">
        <f>Assumptions!B7</f>
        <v>0.3355749118533326</v>
      </c>
    </row>
    <row r="8" spans="1:6" x14ac:dyDescent="0.25">
      <c r="A8" t="s">
        <v>44</v>
      </c>
      <c r="B8" s="18">
        <f>B6*B7</f>
        <v>7235711617.016078</v>
      </c>
      <c r="C8" s="18">
        <f>C6*C7</f>
        <v>7789963656.339605</v>
      </c>
      <c r="D8" s="18">
        <f>D6*D7</f>
        <v>8386671136.033623</v>
      </c>
      <c r="E8" s="18">
        <f>E6*E7</f>
        <v>9029086122.467165</v>
      </c>
      <c r="F8" s="18">
        <f>F6*F7</f>
        <v>9720709788.733309</v>
      </c>
    </row>
    <row r="9" spans="1:6" x14ac:dyDescent="0.25">
      <c r="A9" t="s">
        <v>45</v>
      </c>
      <c r="B9" s="18">
        <f>B8*(1-Assumptions!B8)</f>
        <v>5426783712.762058</v>
      </c>
      <c r="C9" s="18">
        <f>C8*(1-Assumptions!B8)</f>
        <v>5842472742.2547035</v>
      </c>
      <c r="D9" s="18">
        <f>D8*(1-Assumptions!B8)</f>
        <v>6290003352.025217</v>
      </c>
      <c r="E9" s="18">
        <f>E8*(1-Assumptions!B8)</f>
        <v>6771814591.850374</v>
      </c>
      <c r="F9" s="18">
        <f>F8*(1-Assumptions!B8)</f>
        <v>7290532341.549982</v>
      </c>
    </row>
    <row r="10" spans="1:6" x14ac:dyDescent="0.25">
      <c r="A10" t="s">
        <v>46</v>
      </c>
      <c r="B10" s="18">
        <f>B6*Assumptions!B9</f>
        <v>3548934730.3563905</v>
      </c>
      <c r="C10" s="18">
        <f>C6*Assumptions!B9</f>
        <v>3820781428.489074</v>
      </c>
      <c r="D10" s="18">
        <f>D6*Assumptions!B9</f>
        <v>4113451453.3100514</v>
      </c>
      <c r="E10" s="18">
        <f>E6*Assumptions!B9</f>
        <v>4428539861.655936</v>
      </c>
      <c r="F10" s="18">
        <f>F6*Assumptions!B9</f>
        <v>4767763890.951973</v>
      </c>
    </row>
    <row r="11" spans="1:6" x14ac:dyDescent="0.25">
      <c r="A11" t="s">
        <v>47</v>
      </c>
      <c r="B11" s="18">
        <f>-B6*Assumptions!B10</f>
        <v>-6157538741.6160965</v>
      </c>
      <c r="C11" s="18">
        <f>-C6*Assumptions!B10</f>
        <v>-6629203255.819297</v>
      </c>
      <c r="D11" s="18">
        <f>-D6*Assumptions!B10</f>
        <v>-7136997045.581088</v>
      </c>
      <c r="E11" s="18">
        <f>-E6*Assumptions!B10</f>
        <v>-7683687596.080196</v>
      </c>
      <c r="F11" s="18">
        <f>-F6*Assumptions!B10</f>
        <v>-8272254380.5326395</v>
      </c>
    </row>
    <row r="12" spans="1:6" x14ac:dyDescent="0.25">
      <c r="A12" t="s">
        <v>48</v>
      </c>
      <c r="B12" s="18">
        <f>-(B6-Assumptions!B29)*Assumptions!B11</f>
        <v>-1534135193.7612686</v>
      </c>
      <c r="C12" s="18">
        <f>-(C6-B6)*Assumptions!B11</f>
        <v>-1651649213.7700996</v>
      </c>
      <c r="D12" s="18">
        <f>-(D6-C6)*Assumptions!B11</f>
        <v>-1778164751.3471336</v>
      </c>
      <c r="E12" s="18">
        <f>-(E6-D6)*Assumptions!B11</f>
        <v>-1914371318.420601</v>
      </c>
      <c r="F12" s="18">
        <f>-(F6-E6)*Assumptions!B11</f>
        <v>-2061011243.2017174</v>
      </c>
    </row>
    <row r="13" spans="1:6" x14ac:dyDescent="0.25">
      <c r="A13" s="19" t="s">
        <v>49</v>
      </c>
      <c r="B13" s="20">
        <f>B9+B10+B11+B12</f>
        <v>1284044507.7410831</v>
      </c>
      <c r="C13" s="20">
        <f>C9+C10+C11+C12</f>
        <v>1382401701.1543818</v>
      </c>
      <c r="D13" s="20">
        <f>D9+D10+D11+D12</f>
        <v>1488293008.4070463</v>
      </c>
      <c r="E13" s="20">
        <f>E9+E10+E11+E12</f>
        <v>1602295539.0055122</v>
      </c>
      <c r="F13" s="20">
        <f>F9+F10+F11+F12</f>
        <v>1725030608.7675982</v>
      </c>
    </row>
    <row r="14" spans="1:6" x14ac:dyDescent="0.25">
      <c r="A14" t="s">
        <v>50</v>
      </c>
      <c r="B14" s="21">
        <f>1/(1+Assumptions!$B$26)^(1-0.5*Assumptions!$B$32)</f>
        <v>0.967742804859878</v>
      </c>
      <c r="C14" s="21">
        <f>1/(1+Assumptions!$B$26)^(2-0.5*Assumptions!$B$32)</f>
        <v>0.9063164300237372</v>
      </c>
      <c r="D14" s="21">
        <f>1/(1+Assumptions!$B$26)^(3-0.5*Assumptions!$B$32)</f>
        <v>0.848789024527964</v>
      </c>
      <c r="E14" s="21">
        <f>1/(1+Assumptions!$B$26)^(4-0.5*Assumptions!$B$32)</f>
        <v>0.794913105724304</v>
      </c>
      <c r="F14" s="21">
        <f>1/(1+Assumptions!$B$26)^(5-0.5*Assumptions!$B$32)</f>
        <v>0.7444568996443715</v>
      </c>
    </row>
    <row r="15" spans="1:6" x14ac:dyDescent="0.25">
      <c r="A15" s="19" t="s">
        <v>51</v>
      </c>
      <c r="B15" s="20">
        <f>B13*B14</f>
        <v>1242624833.486277</v>
      </c>
      <c r="C15" s="20">
        <f>C13*C14</f>
        <v>1252893374.6489804</v>
      </c>
      <c r="D15" s="20">
        <f>D13*D14</f>
        <v>1263246770.8176057</v>
      </c>
      <c r="E15" s="20">
        <f>E13*E14</f>
        <v>1273685723.1990693</v>
      </c>
      <c r="F15" s="20">
        <f>F13*F14</f>
        <v>1284210938.7947688</v>
      </c>
    </row>
    <row r="17" spans="1:2" x14ac:dyDescent="0.25">
      <c r="A17" s="22" t="s">
        <v>52</v>
      </c>
      <c r="B17" s="23">
        <f>SUM(B15:F15)</f>
        <v>6316661640.946701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1725030608.7675982</v>
      </c>
    </row>
    <row r="5" spans="1:2" x14ac:dyDescent="0.25">
      <c r="A5" t="s">
        <v>56</v>
      </c>
      <c r="B5" s="18">
        <f>IF(Assumptions!$B$33=0,B4,B4-Forecast!F11-Forecast!F10-Forecast!F12)</f>
        <v>7290532341.549982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0.36886289987053617</v>
      </c>
    </row>
    <row r="7" spans="1:2" x14ac:dyDescent="0.25">
      <c r="A7" t="s">
        <v>58</v>
      </c>
      <c r="B7" s="18">
        <f>-MAX(Forecast!F9,0)*B6</f>
        <v>-2689206901.104057</v>
      </c>
    </row>
    <row r="8" spans="1:2" x14ac:dyDescent="0.25">
      <c r="A8" t="s">
        <v>59</v>
      </c>
      <c r="B8" s="18">
        <f>IF(OR(Assumptions!$B$33=0,Assumptions!B12&lt;=0),B5,MAX(B5+B7,0))</f>
        <v>4601325440.445925</v>
      </c>
    </row>
    <row r="9" spans="1:2" x14ac:dyDescent="0.25">
      <c r="A9" t="s">
        <v>60</v>
      </c>
      <c r="B9" s="18">
        <f>B8*(1+Assumptions!B12)/(Assumptions!B26-Assumptions!B12)</f>
        <v>110257482945.26627</v>
      </c>
    </row>
    <row r="10" spans="1:2" x14ac:dyDescent="0.25">
      <c r="A10" t="s">
        <v>61</v>
      </c>
      <c r="B10" s="18">
        <f>B9/(1+Assumptions!B26)^(5-0.5*Assumptions!B32)</f>
        <v>82081943916.02509</v>
      </c>
    </row>
    <row r="11" spans="1:2" x14ac:dyDescent="0.25">
      <c r="A11" t="s">
        <v>62</v>
      </c>
      <c r="B11" s="18">
        <f>Forecast!B17+B10</f>
        <v>88398605556.97179</v>
      </c>
    </row>
    <row r="12" spans="1:2" x14ac:dyDescent="0.25">
      <c r="A12" t="s">
        <v>63</v>
      </c>
      <c r="B12" s="18">
        <f>-Assumptions!B30</f>
        <v>-38484000000</v>
      </c>
    </row>
    <row r="13" spans="1:2" x14ac:dyDescent="0.25">
      <c r="A13" t="s">
        <v>64</v>
      </c>
      <c r="B13" s="18">
        <f>B11+B12</f>
        <v>49914605556.97179</v>
      </c>
    </row>
    <row r="14" spans="1:2" x14ac:dyDescent="0.25">
      <c r="A14" s="19" t="s">
        <v>65</v>
      </c>
      <c r="B14" s="24">
        <f>B13/Assumptions!B31</f>
        <v>0.8208073840384432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14488473679.685282</v>
      </c>
    </row>
    <row r="18" spans="1:2" x14ac:dyDescent="0.25">
      <c r="A18" t="s">
        <v>60</v>
      </c>
      <c r="B18" s="18">
        <f>B17*Assumptions!B13</f>
        <v>144949895770.37442</v>
      </c>
    </row>
    <row r="19" spans="1:2" x14ac:dyDescent="0.25">
      <c r="A19" t="s">
        <v>61</v>
      </c>
      <c r="B19" s="18">
        <f>B18/(1+Assumptions!B26)^(5-0.5*Assumptions!B32)</f>
        <v>107908950008.98773</v>
      </c>
    </row>
    <row r="20" spans="1:2" x14ac:dyDescent="0.25">
      <c r="A20" t="s">
        <v>62</v>
      </c>
      <c r="B20" s="18">
        <f>Forecast!B17+B19</f>
        <v>114225611649.93443</v>
      </c>
    </row>
    <row r="21" spans="1:2" x14ac:dyDescent="0.25">
      <c r="A21" t="s">
        <v>63</v>
      </c>
      <c r="B21" s="18">
        <f>-Assumptions!B30</f>
        <v>-38484000000</v>
      </c>
    </row>
    <row r="22" spans="1:2" x14ac:dyDescent="0.25">
      <c r="A22" t="s">
        <v>64</v>
      </c>
      <c r="B22" s="18">
        <f>B20+B21</f>
        <v>75741611649.93443</v>
      </c>
    </row>
    <row r="23" spans="1:2" x14ac:dyDescent="0.25">
      <c r="A23" s="19" t="s">
        <v>65</v>
      </c>
      <c r="B23" s="25">
        <f>B22/Assumptions!B31</f>
        <v>1.2455126796560432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108.95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82.08073840384432</v>
      </c>
    </row>
    <row r="29" spans="1:2" x14ac:dyDescent="0.25">
      <c r="A29" s="19" t="s">
        <v>73</v>
      </c>
      <c r="B29" s="12">
        <f>B28/B26-1</f>
        <v>-0.24662011561409525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0.047776</v>
      </c>
      <c r="B5" s="31">
        <v>1.5406631402083488</v>
      </c>
      <c r="C5" s="31">
        <v>1.5508332364199244</v>
      </c>
      <c r="D5" s="31">
        <v>1.5610033326315</v>
      </c>
      <c r="E5" s="31">
        <v>1.571173428843077</v>
      </c>
      <c r="F5" s="31">
        <v>1.5813435250546526</v>
      </c>
    </row>
    <row r="6" spans="1:6" x14ac:dyDescent="0.25">
      <c r="A6" s="30">
        <v>0.057776</v>
      </c>
      <c r="B6" s="31">
        <v>1.1092916278979525</v>
      </c>
      <c r="C6" s="31">
        <v>1.1173495616897309</v>
      </c>
      <c r="D6" s="31">
        <v>1.1254074954815099</v>
      </c>
      <c r="E6" s="31">
        <v>1.133465429273289</v>
      </c>
      <c r="F6" s="31">
        <v>1.1415233630650674</v>
      </c>
    </row>
    <row r="7" spans="1:6" x14ac:dyDescent="0.25">
      <c r="A7" s="30">
        <v>0.067776</v>
      </c>
      <c r="B7" s="31">
        <v>0.8076352496537306</v>
      </c>
      <c r="C7" s="31">
        <v>0.8142194983151925</v>
      </c>
      <c r="D7" s="32">
        <v>0.8208037469766549</v>
      </c>
      <c r="E7" s="31">
        <v>0.8273879956381168</v>
      </c>
      <c r="F7" s="31">
        <v>0.8339722442995787</v>
      </c>
    </row>
    <row r="8" spans="1:6" x14ac:dyDescent="0.25">
      <c r="A8" s="30">
        <v>0.077776</v>
      </c>
      <c r="B8" s="31">
        <v>0.5855351703415679</v>
      </c>
      <c r="C8" s="31">
        <v>0.5910371497998033</v>
      </c>
      <c r="D8" s="31">
        <v>0.5965391292580388</v>
      </c>
      <c r="E8" s="31">
        <v>0.6020411087162739</v>
      </c>
      <c r="F8" s="31">
        <v>0.6075430881745094</v>
      </c>
    </row>
    <row r="9" spans="1:6" x14ac:dyDescent="0.25">
      <c r="A9" s="30">
        <v>0.087776</v>
      </c>
      <c r="B9" s="31">
        <v>0.41569768006460706</v>
      </c>
      <c r="C9" s="31">
        <v>0.420374379333377</v>
      </c>
      <c r="D9" s="31">
        <v>0.425051078602147</v>
      </c>
      <c r="E9" s="31">
        <v>0.42972777787091676</v>
      </c>
      <c r="F9" s="31">
        <v>0.4344044771396865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20028000000</v>
      </c>
      <c r="C5" s="18">
        <v>18603000000</v>
      </c>
      <c r="D5" s="18">
        <v>19199000000</v>
      </c>
      <c r="E5" s="18">
        <v>16050000000</v>
      </c>
      <c r="F5" s="8" t="s">
        <v>84</v>
      </c>
    </row>
    <row r="6" spans="1:6" x14ac:dyDescent="0.25">
      <c r="A6" t="s">
        <v>44</v>
      </c>
      <c r="B6" s="18">
        <v>6661000000</v>
      </c>
      <c r="C6" s="18">
        <v>5971000000</v>
      </c>
      <c r="D6" s="18">
        <v>7503000000</v>
      </c>
      <c r="E6" s="18">
        <v>4782000000</v>
      </c>
      <c r="F6" s="8" t="s">
        <v>85</v>
      </c>
    </row>
    <row r="7" spans="1:6" x14ac:dyDescent="0.25">
      <c r="A7" t="s">
        <v>86</v>
      </c>
      <c r="B7" s="18">
        <v>3477000000</v>
      </c>
      <c r="C7" s="18">
        <v>3426000000</v>
      </c>
      <c r="D7" s="18">
        <v>2905000000</v>
      </c>
      <c r="E7" s="18">
        <v>2396000000</v>
      </c>
      <c r="F7" s="8" t="s">
        <v>87</v>
      </c>
    </row>
    <row r="8" spans="1:6" x14ac:dyDescent="0.25">
      <c r="A8" t="s">
        <v>88</v>
      </c>
      <c r="B8" s="18">
        <v>6323000000</v>
      </c>
      <c r="C8" s="18">
        <v>5623000000</v>
      </c>
      <c r="D8" s="18">
        <v>5455000000</v>
      </c>
      <c r="E8" s="18">
        <v>3855000000</v>
      </c>
      <c r="F8" s="8" t="s">
        <v>89</v>
      </c>
    </row>
    <row r="9" spans="1:6" x14ac:dyDescent="0.25">
      <c r="A9" t="s">
        <v>90</v>
      </c>
      <c r="B9" s="18">
        <v>5286000000</v>
      </c>
      <c r="C9" s="18">
        <v>16019000000</v>
      </c>
      <c r="D9" s="18">
        <v>4878000000</v>
      </c>
      <c r="E9" s="18">
        <v>-18216000000</v>
      </c>
      <c r="F9" s="8" t="s">
        <v>91</v>
      </c>
    </row>
    <row r="10" spans="1:6" x14ac:dyDescent="0.25">
      <c r="A10" t="s">
        <v>92</v>
      </c>
      <c r="B10" s="18">
        <v>95145000000</v>
      </c>
      <c r="C10" s="18">
        <v>88522000000</v>
      </c>
      <c r="D10" s="18">
        <v>93668000000</v>
      </c>
      <c r="E10" s="18">
        <v>91835000000</v>
      </c>
      <c r="F10" s="8" t="s">
        <v>93</v>
      </c>
    </row>
    <row r="11" spans="1:6" x14ac:dyDescent="0.25">
      <c r="A11" t="s">
        <v>94</v>
      </c>
      <c r="B11" s="18">
        <v>56661000000</v>
      </c>
      <c r="C11" s="18">
        <v>62705000000</v>
      </c>
      <c r="D11" s="18">
        <v>78110000000</v>
      </c>
      <c r="E11" s="18">
        <v>92046000000</v>
      </c>
      <c r="F11" s="8" t="s">
        <v>95</v>
      </c>
    </row>
    <row r="12" spans="1:6" x14ac:dyDescent="0.25">
      <c r="A12" t="s">
        <v>32</v>
      </c>
      <c r="B12" s="34">
        <v>60811594203</v>
      </c>
      <c r="C12" s="34">
        <v>63074000000</v>
      </c>
      <c r="D12" s="34">
        <v>65760000000</v>
      </c>
      <c r="E12" s="34">
        <v>69682000000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2026-09-19T01:04:20Z</dcterms:modified>
</cp:coreProperties>
</file>