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<sst xmlns="http://schemas.openxmlformats.org/spreadsheetml/2006/main" count="113" uniqueCount="101">
  <si>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Eli Lilly and Company (LLY)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</si>
  <si>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</si>
  <si>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</si>
  <si>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</si>
  <si>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</si>
  <si>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</si>
  <si>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</si>
  <si>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</si>
  <si>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</si>
  <si>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</si>
  <si>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</si>
  <si>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</si>
  <si>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</si>
  <si>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</si>
  <si>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</si>
  <si>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</si>
  <si>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</si>
  <si>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</si>
  <si>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</si>
  <si>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</si>
  <si>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</si>
  <si>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</si>
  <si>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</si>
  <si>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</si>
  <si>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</si>
  <si>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</si>
  <si>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</si>
  <si>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</si>
  <si>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</si>
  <si>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</si>
  <si>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</si>
  <si>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</si>
  <si>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</si>
  <si>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</si>
  <si>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</si>
  <si>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</si>
  <si>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</si>
  <si>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</si>
  <si>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</si>
  <si>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</si>
  <si>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</si>
  <si>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</si>
  <si>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</si>
  <si>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</si>
  <si>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</si>
  <si>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</si>
  <si>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</si>
  <si>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</si>
  <si>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</si>
  <si>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</si>
  <si>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</si>
  <si>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</si>
  <si>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</si>
  <si>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</si>
  <si>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</si>
  <si>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</si>
  <si>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</si>
  <si>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</si>
  <si>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</si>
  <si>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</si>
  <si>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</si>
  <si>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</si>
  <si>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</si>
  <si>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</si>
  <si>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</si>
  <si>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</si>
  <si>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</si>
  <si>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</si>
  <si>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</si>
  <si>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</si>
  <si>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</si>
  <si>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</si>
  <si>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</si>
  <si>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</si>
  <si>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</si>
  <si>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</si>
  <si>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</si>
  <si>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</si>
  <si>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</si>
  <si>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</si>
  <si>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</si>
  <si>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</si>
  <si>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</si>
  <si>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</si>
  <si>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</si>
  <si>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</si>
  <si>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</si>
  <si>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</si>
  <si>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</si>
  <si>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</si>
  <si>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</si>
  <si>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</si>
  <si>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</si>
  <si>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</si>
  <si>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</si>
  <si>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</si>
  <si>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</si>
  <si>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</si>
  <si>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16.9% of revenue against depreciation of 4.2%. A perpetuity has to be a steady state, so the terminal year uses maintenance capex at depreciation and then charges the reinvestment terminal growth requires (g/ROIC of NOPAT). The bridge is shown under Terminal Value.</t>
  </si>
  <si>
    <t>Current EV/EBITDA of 33.6x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</si>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</sst>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0.31687374880620434</v>
      </c>
    </row>
    <row r="7" spans="1:2" x14ac:dyDescent="0.25">
      <c r="A7" t="s">
        <v>5</v>
      </c>
      <c r="B7" s="6">
        <v>0.3566509816120914</v>
      </c>
    </row>
    <row r="8" spans="1:2" x14ac:dyDescent="0.25">
      <c r="A8" t="s">
        <v>6</v>
      </c>
      <c r="B8" s="6">
        <v>0.18134061309150104</v>
      </c>
    </row>
    <row r="9" spans="1:2" x14ac:dyDescent="0.25">
      <c r="A9" t="s">
        <v>7</v>
      </c>
      <c r="B9" s="6">
        <v>0.041990002950195886</v>
      </c>
    </row>
    <row r="10" spans="1:2" x14ac:dyDescent="0.25">
      <c r="A10" t="s">
        <v>8</v>
      </c>
      <c r="B10" s="6">
        <v>0.16856093735185718</v>
      </c>
    </row>
    <row r="11" spans="1:2" x14ac:dyDescent="0.25">
      <c r="A11" t="s">
        <v>9</v>
      </c>
      <c r="B11" s="6">
        <v>0.4930854473852917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0.27162164661893234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0.6663399999999999</v>
      </c>
      <c r="C19" s="8" t="s">
        <v>19</v>
      </c>
    </row>
    <row r="20" spans="1:2" x14ac:dyDescent="0.25">
      <c r="A20" t="s">
        <v>20</v>
      </c>
      <c r="B20" s="10">
        <f>B17+B19*B18</f>
        <v>0.0866287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1028115464192</v>
      </c>
    </row>
    <row r="23" spans="1:2" x14ac:dyDescent="0.25">
      <c r="A23" t="s">
        <v>24</v>
      </c>
      <c r="B23" s="11">
        <v>42503000000</v>
      </c>
    </row>
    <row r="24" spans="1:2" x14ac:dyDescent="0.25">
      <c r="A24" t="s">
        <v>25</v>
      </c>
      <c r="B24" s="10">
        <f>B22/(B22+B23)</f>
        <v>0.9603005165504247</v>
      </c>
    </row>
    <row r="25" spans="1:2" x14ac:dyDescent="0.25">
      <c r="A25" t="s">
        <v>26</v>
      </c>
      <c r="B25" s="10">
        <f>1-B24</f>
        <v>0.0396994834495753</v>
      </c>
    </row>
    <row r="26" spans="1:2" x14ac:dyDescent="0.25">
      <c r="A26" t="s">
        <v>27</v>
      </c>
      <c r="B26" s="12">
        <f>B24*B20+B25*B21*(1-B8)</f>
        <v>0.08546396018569509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65179000000</v>
      </c>
      <c r="C29" s="8" t="s">
        <v>30</v>
      </c>
    </row>
    <row r="30" spans="1:2" x14ac:dyDescent="0.25">
      <c r="A30" t="s">
        <v>31</v>
      </c>
      <c r="B30" s="11">
        <v>35235000000</v>
      </c>
    </row>
    <row r="31" spans="1:2" x14ac:dyDescent="0.25">
      <c r="A31" t="s">
        <v>32</v>
      </c>
      <c r="B31" s="13">
        <v>899301000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0.31687374880620434</v>
      </c>
      <c r="C5" s="10">
        <f>Assumptions!B6</f>
        <v>0.31687374880620434</v>
      </c>
      <c r="D5" s="10">
        <f>Assumptions!B6</f>
        <v>0.31687374880620434</v>
      </c>
      <c r="E5" s="10">
        <f>Assumptions!B6</f>
        <v>0.31687374880620434</v>
      </c>
      <c r="F5" s="10">
        <f>Assumptions!B6</f>
        <v>0.31687374880620434</v>
      </c>
    </row>
    <row r="6" spans="1:6" x14ac:dyDescent="0.25">
      <c r="A6" t="s">
        <v>43</v>
      </c>
      <c r="B6" s="18">
        <f>Assumptions!B29*(1+B5)</f>
        <v>85832514073.43959</v>
      </c>
      <c r="C6" s="18">
        <f>B6*(1+C5)</f>
        <v>113030584577.35168</v>
      </c>
      <c r="D6" s="18">
        <f>C6*(1+D5)</f>
        <v>148847009642.13385</v>
      </c>
      <c r="E6" s="18">
        <f>D6*(1+E5)</f>
        <v>196012719586.03006</v>
      </c>
      <c r="F6" s="18">
        <f>E6*(1+F5)</f>
        <v>258124004854.9547</v>
      </c>
    </row>
    <row r="7" spans="1:6" x14ac:dyDescent="0.25">
      <c r="A7" t="s">
        <v>5</v>
      </c>
      <c r="B7" s="10">
        <f>Assumptions!B7</f>
        <v>0.3566509816120914</v>
      </c>
      <c r="C7" s="10">
        <f>Assumptions!B7</f>
        <v>0.3566509816120914</v>
      </c>
      <c r="D7" s="10">
        <f>Assumptions!B7</f>
        <v>0.3566509816120914</v>
      </c>
      <c r="E7" s="10">
        <f>Assumptions!B7</f>
        <v>0.3566509816120914</v>
      </c>
      <c r="F7" s="10">
        <f>Assumptions!B7</f>
        <v>0.3566509816120914</v>
      </c>
    </row>
    <row r="8" spans="1:6" x14ac:dyDescent="0.25">
      <c r="A8" t="s">
        <v>44</v>
      </c>
      <c r="B8" s="18">
        <f>B6*B7</f>
        <v>30612250398.52588</v>
      </c>
      <c r="C8" s="18">
        <f>C6*C7</f>
        <v>40312468941.701</v>
      </c>
      <c r="D8" s="18">
        <f>D6*D7</f>
        <v>53086432098.89147</v>
      </c>
      <c r="E8" s="18">
        <f>E6*E7</f>
        <v>69908128848.81323</v>
      </c>
      <c r="F8" s="18">
        <f>F6*F7</f>
        <v>92060179709.16385</v>
      </c>
    </row>
    <row r="9" spans="1:6" x14ac:dyDescent="0.25">
      <c r="A9" t="s">
        <v>45</v>
      </c>
      <c r="B9" s="18">
        <f>B8*(1-Assumptions!B8)</f>
        <v>25061006143.14665</v>
      </c>
      <c r="C9" s="18">
        <f>C8*(1-Assumptions!B8)</f>
        <v>33002181108.58084</v>
      </c>
      <c r="D9" s="18">
        <f>D8*(1-Assumptions!B8)</f>
        <v>43459705955.23815</v>
      </c>
      <c r="E9" s="18">
        <f>E8*(1-Assumptions!B8)</f>
        <v>57230945903.28979</v>
      </c>
      <c r="F9" s="18">
        <f>F8*(1-Assumptions!B8)</f>
        <v>75365930279.3903</v>
      </c>
    </row>
    <row r="10" spans="1:6" x14ac:dyDescent="0.25">
      <c r="A10" t="s">
        <v>46</v>
      </c>
      <c r="B10" s="18">
        <f>B6*Assumptions!B9</f>
        <v>3604107519.166458</v>
      </c>
      <c r="C10" s="18">
        <f>C6*Assumptions!B9</f>
        <v>4746154579.865363</v>
      </c>
      <c r="D10" s="18">
        <f>D6*Assumptions!B9</f>
        <v>6250086374.001036</v>
      </c>
      <c r="E10" s="18">
        <f>E6*Assumptions!B9</f>
        <v>8230574673.693321</v>
      </c>
      <c r="F10" s="18">
        <f>F6*Assumptions!B9</f>
        <v>10838627725.375925</v>
      </c>
    </row>
    <row r="11" spans="1:6" x14ac:dyDescent="0.25">
      <c r="A11" t="s">
        <v>47</v>
      </c>
      <c r="B11" s="18">
        <f>-B6*Assumptions!B10</f>
        <v>-14468009027.48545</v>
      </c>
      <c r="C11" s="18">
        <f>-C6*Assumptions!B10</f>
        <v>-19052541285.78677</v>
      </c>
      <c r="D11" s="18">
        <f>-D6*Assumptions!B10</f>
        <v>-25089791467.299004</v>
      </c>
      <c r="E11" s="18">
        <f>-E6*Assumptions!B10</f>
        <v>-33040087746.30796</v>
      </c>
      <c r="F11" s="18">
        <f>-F6*Assumptions!B10</f>
        <v>-43509624211.3665</v>
      </c>
    </row>
    <row r="12" spans="1:6" x14ac:dyDescent="0.25">
      <c r="A12" t="s">
        <v>48</v>
      </c>
      <c r="B12" s="18">
        <f>-(B6-Assumptions!B29)*Assumptions!B11</f>
        <v>-10183947226.98038</v>
      </c>
      <c r="C12" s="18">
        <f>-(C6-B6)*Assumptions!B11</f>
        <v>-13410972762.4382</v>
      </c>
      <c r="D12" s="18">
        <f>-(D6-C6)*Assumptions!B11</f>
        <v>-17660557976.80989</v>
      </c>
      <c r="E12" s="18">
        <f>-(E6-D6)*Assumptions!B11</f>
        <v>-23256725188.930965</v>
      </c>
      <c r="F12" s="18">
        <f>-(F6-E6)*Assumptions!B11</f>
        <v>-30626170884.50319</v>
      </c>
    </row>
    <row r="13" spans="1:6" x14ac:dyDescent="0.25">
      <c r="A13" s="19" t="s">
        <v>49</v>
      </c>
      <c r="B13" s="20">
        <f>B9+B10+B11+B12</f>
        <v>4013157407.8472767</v>
      </c>
      <c r="C13" s="20">
        <f>C9+C10+C11+C12</f>
        <v>5284821640.221235</v>
      </c>
      <c r="D13" s="20">
        <f>D9+D10+D11+D12</f>
        <v>6959442885.130295</v>
      </c>
      <c r="E13" s="20">
        <f>E9+E10+E11+E12</f>
        <v>9164707641.744183</v>
      </c>
      <c r="F13" s="20">
        <f>F9+F10+F11+F12</f>
        <v>12068762908.896545</v>
      </c>
    </row>
    <row r="14" spans="1:6" x14ac:dyDescent="0.25">
      <c r="A14" t="s">
        <v>50</v>
      </c>
      <c r="B14" s="21">
        <f>1/(1+Assumptions!$B$26)^(1-0.5*Assumptions!$B$32)</f>
        <v>0.9598255264362037</v>
      </c>
      <c r="C14" s="21">
        <f>1/(1+Assumptions!$B$26)^(2-0.5*Assumptions!$B$32)</f>
        <v>0.8842537031556553</v>
      </c>
      <c r="D14" s="21">
        <f>1/(1+Assumptions!$B$26)^(3-0.5*Assumptions!$B$32)</f>
        <v>0.8146320242676526</v>
      </c>
      <c r="E14" s="21">
        <f>1/(1+Assumptions!$B$26)^(4-0.5*Assumptions!$B$32)</f>
        <v>0.7504920053985855</v>
      </c>
      <c r="F14" s="21">
        <f>1/(1+Assumptions!$B$26)^(5-0.5*Assumptions!$B$32)</f>
        <v>0.6914020482726996</v>
      </c>
    </row>
    <row r="15" spans="1:6" x14ac:dyDescent="0.25">
      <c r="A15" s="19" t="s">
        <v>51</v>
      </c>
      <c r="B15" s="20">
        <f>B13*B14</f>
        <v>3851930921.658363</v>
      </c>
      <c r="C15" s="20">
        <f>C13*C14</f>
        <v>4673123105.8827715</v>
      </c>
      <c r="D15" s="20">
        <f>D13*D14</f>
        <v>5669385045.288804</v>
      </c>
      <c r="E15" s="20">
        <f>E13*E14</f>
        <v>6878039816.944333</v>
      </c>
      <c r="F15" s="20">
        <f>F13*F14</f>
        <v>8344367395.328655</v>
      </c>
    </row>
    <row r="17" spans="1:2" x14ac:dyDescent="0.25">
      <c r="A17" s="22" t="s">
        <v>52</v>
      </c>
      <c r="B17" s="23">
        <f>SUM(B15:F15)</f>
        <v>29416846285.102924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12068762908.896545</v>
      </c>
    </row>
    <row r="5" spans="1:2" x14ac:dyDescent="0.25">
      <c r="A5" t="s">
        <v>56</v>
      </c>
      <c r="B5" s="18">
        <f>IF(Assumptions!$B$33=0,B4,B4-Forecast!F11-Forecast!F10-Forecast!F12)</f>
        <v>75365930279.3903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0.09203979252461196</v>
      </c>
    </row>
    <row r="7" spans="1:2" x14ac:dyDescent="0.25">
      <c r="A7" t="s">
        <v>58</v>
      </c>
      <c r="B7" s="18">
        <f>-MAX(Forecast!F9,0)*B6</f>
        <v>-6936664586.339454</v>
      </c>
    </row>
    <row r="8" spans="1:2" x14ac:dyDescent="0.25">
      <c r="A8" t="s">
        <v>59</v>
      </c>
      <c r="B8" s="18">
        <f>IF(OR(Assumptions!$B$33=0,Assumptions!B12&lt;=0),B5,MAX(B5+B7,0))</f>
        <v>68429265693.05085</v>
      </c>
    </row>
    <row r="9" spans="1:2" x14ac:dyDescent="0.25">
      <c r="A9" t="s">
        <v>60</v>
      </c>
      <c r="B9" s="18">
        <f>B8*(1+Assumptions!B12)/(Assumptions!B26-Assumptions!B12)</f>
        <v>1160029828015.9832</v>
      </c>
    </row>
    <row r="10" spans="1:2" x14ac:dyDescent="0.25">
      <c r="A10" t="s">
        <v>61</v>
      </c>
      <c r="B10" s="18">
        <f>B9/(1+Assumptions!B26)^(5-0.5*Assumptions!B32)</f>
        <v>802046999147.6782</v>
      </c>
    </row>
    <row r="11" spans="1:2" x14ac:dyDescent="0.25">
      <c r="A11" t="s">
        <v>62</v>
      </c>
      <c r="B11" s="18">
        <f>Forecast!B17+B10</f>
        <v>831463845432.7811</v>
      </c>
    </row>
    <row r="12" spans="1:2" x14ac:dyDescent="0.25">
      <c r="A12" t="s">
        <v>63</v>
      </c>
      <c r="B12" s="18">
        <f>-Assumptions!B30</f>
        <v>-35235000000</v>
      </c>
    </row>
    <row r="13" spans="1:2" x14ac:dyDescent="0.25">
      <c r="A13" t="s">
        <v>64</v>
      </c>
      <c r="B13" s="18">
        <f>B11+B12</f>
        <v>796228845432.7811</v>
      </c>
    </row>
    <row r="14" spans="1:2" x14ac:dyDescent="0.25">
      <c r="A14" s="19" t="s">
        <v>65</v>
      </c>
      <c r="B14" s="24">
        <f>B13/Assumptions!B31</f>
        <v>885.3863672260802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102898807434.53978</v>
      </c>
    </row>
    <row r="18" spans="1:2" x14ac:dyDescent="0.25">
      <c r="A18" t="s">
        <v>60</v>
      </c>
      <c r="B18" s="18">
        <f>B17*Assumptions!B13</f>
        <v>2057976148690.7957</v>
      </c>
    </row>
    <row r="19" spans="1:2" x14ac:dyDescent="0.25">
      <c r="A19" t="s">
        <v>61</v>
      </c>
      <c r="B19" s="18">
        <f>B18/(1+Assumptions!B26)^(5-0.5*Assumptions!B32)</f>
        <v>1422888924501.178</v>
      </c>
    </row>
    <row r="20" spans="1:2" x14ac:dyDescent="0.25">
      <c r="A20" t="s">
        <v>62</v>
      </c>
      <c r="B20" s="18">
        <f>Forecast!B17+B19</f>
        <v>1452305770786.281</v>
      </c>
    </row>
    <row r="21" spans="1:2" x14ac:dyDescent="0.25">
      <c r="A21" t="s">
        <v>63</v>
      </c>
      <c r="B21" s="18">
        <f>-Assumptions!B30</f>
        <v>-35235000000</v>
      </c>
    </row>
    <row r="22" spans="1:2" x14ac:dyDescent="0.25">
      <c r="A22" t="s">
        <v>64</v>
      </c>
      <c r="B22" s="18">
        <f>B20+B21</f>
        <v>1417070770786.281</v>
      </c>
    </row>
    <row r="23" spans="1:2" x14ac:dyDescent="0.25">
      <c r="A23" s="19" t="s">
        <v>65</v>
      </c>
      <c r="B23" s="25">
        <f>B22/Assumptions!B31</f>
        <v>1575.7469087505528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1152.93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885.3863672260802</v>
      </c>
    </row>
    <row r="29" spans="1:2" x14ac:dyDescent="0.25">
      <c r="A29" s="19" t="s">
        <v>73</v>
      </c>
      <c r="B29" s="12">
        <f>B28/B26-1</f>
        <v>-0.23205540039197514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0.065464</v>
      </c>
      <c r="B5" s="31">
        <v>1192.5197803026672</v>
      </c>
      <c r="C5" s="31">
        <v>1304.7094122370593</v>
      </c>
      <c r="D5" s="31">
        <v>1444.3382289756767</v>
      </c>
      <c r="E5" s="31">
        <v>1623.0120215196303</v>
      </c>
      <c r="F5" s="31">
        <v>1859.9559289537433</v>
      </c>
    </row>
    <row r="6" spans="1:6" x14ac:dyDescent="0.25">
      <c r="A6" s="30">
        <v>0.075464</v>
      </c>
      <c r="B6" s="31">
        <v>952.463421943741</v>
      </c>
      <c r="C6" s="31">
        <v>1023.5253150946318</v>
      </c>
      <c r="D6" s="31">
        <v>1108.4485589798273</v>
      </c>
      <c r="E6" s="31">
        <v>1211.8064480963938</v>
      </c>
      <c r="F6" s="31">
        <v>1340.4327032448089</v>
      </c>
    </row>
    <row r="7" spans="1:6" x14ac:dyDescent="0.25">
      <c r="A7" s="30">
        <v>0.085464</v>
      </c>
      <c r="B7" s="31">
        <v>782.0785424544564</v>
      </c>
      <c r="C7" s="31">
        <v>829.8683644347196</v>
      </c>
      <c r="D7" s="32">
        <v>885.3856292934972</v>
      </c>
      <c r="E7" s="31">
        <v>950.7201906868135</v>
      </c>
      <c r="F7" s="31">
        <v>1028.7901575243484</v>
      </c>
    </row>
    <row r="8" spans="1:6" x14ac:dyDescent="0.25">
      <c r="A8" s="30">
        <v>0.095464</v>
      </c>
      <c r="B8" s="31">
        <v>655.3113037509924</v>
      </c>
      <c r="C8" s="31">
        <v>688.8616661354141</v>
      </c>
      <c r="D8" s="31">
        <v>727.0281262674572</v>
      </c>
      <c r="E8" s="31">
        <v>770.8683871016361</v>
      </c>
      <c r="F8" s="31">
        <v>821.7900136441042</v>
      </c>
    </row>
    <row r="9" spans="1:6" x14ac:dyDescent="0.25">
      <c r="A9" s="30">
        <v>0.105464</v>
      </c>
      <c r="B9" s="31">
        <v>557.6325416297929</v>
      </c>
      <c r="C9" s="31">
        <v>581.956635472619</v>
      </c>
      <c r="D9" s="31">
        <v>609.1816056301534</v>
      </c>
      <c r="E9" s="31">
        <v>639.8840600839587</v>
      </c>
      <c r="F9" s="31">
        <v>674.8042671191745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65179000000</v>
      </c>
      <c r="C5" s="18">
        <v>45043000000</v>
      </c>
      <c r="D5" s="18">
        <v>34124000000</v>
      </c>
      <c r="E5" s="18">
        <v>28541400000</v>
      </c>
      <c r="F5" s="8" t="s">
        <v>84</v>
      </c>
    </row>
    <row r="6" spans="1:6" x14ac:dyDescent="0.25">
      <c r="A6" t="s">
        <v>44</v>
      </c>
      <c r="B6" s="18">
        <v>29696000000</v>
      </c>
      <c r="C6" s="18">
        <v>17040000000</v>
      </c>
      <c r="D6" s="18">
        <v>10325000000</v>
      </c>
      <c r="E6" s="18">
        <v>8280400000</v>
      </c>
      <c r="F6" s="8" t="s">
        <v>85</v>
      </c>
    </row>
    <row r="7" spans="1:6" x14ac:dyDescent="0.25">
      <c r="A7" t="s">
        <v>86</v>
      </c>
      <c r="B7" s="18">
        <v>1997000000</v>
      </c>
      <c r="C7" s="18">
        <v>1767000000</v>
      </c>
      <c r="D7" s="18">
        <v>1527000000</v>
      </c>
      <c r="E7" s="18">
        <v>1522500000</v>
      </c>
      <c r="F7" s="8" t="s">
        <v>87</v>
      </c>
    </row>
    <row r="8" spans="1:6" x14ac:dyDescent="0.25">
      <c r="A8" t="s">
        <v>88</v>
      </c>
      <c r="B8" s="18">
        <v>10849000000</v>
      </c>
      <c r="C8" s="18">
        <v>8404000000</v>
      </c>
      <c r="D8" s="18">
        <v>7392000000</v>
      </c>
      <c r="E8" s="18">
        <v>2985300000</v>
      </c>
      <c r="F8" s="8" t="s">
        <v>89</v>
      </c>
    </row>
    <row r="9" spans="1:6" x14ac:dyDescent="0.25">
      <c r="A9" t="s">
        <v>90</v>
      </c>
      <c r="B9" s="18">
        <v>8093000000</v>
      </c>
      <c r="C9" s="18">
        <v>5384000000</v>
      </c>
      <c r="D9" s="18">
        <v>3055000000</v>
      </c>
      <c r="E9" s="18">
        <v>800000</v>
      </c>
      <c r="F9" s="8" t="s">
        <v>91</v>
      </c>
    </row>
    <row r="10" spans="1:6" x14ac:dyDescent="0.25">
      <c r="A10" t="s">
        <v>92</v>
      </c>
      <c r="B10" s="18">
        <v>42503000000</v>
      </c>
      <c r="C10" s="18">
        <v>33644000000</v>
      </c>
      <c r="D10" s="18">
        <v>25225300000</v>
      </c>
      <c r="E10" s="18">
        <v>16238600000</v>
      </c>
      <c r="F10" s="8" t="s">
        <v>93</v>
      </c>
    </row>
    <row r="11" spans="1:6" x14ac:dyDescent="0.25">
      <c r="A11" t="s">
        <v>94</v>
      </c>
      <c r="B11" s="18">
        <v>7268000000</v>
      </c>
      <c r="C11" s="18">
        <v>3268000000</v>
      </c>
      <c r="D11" s="18">
        <v>2927700000</v>
      </c>
      <c r="E11" s="18">
        <v>2211800000</v>
      </c>
      <c r="F11" s="8" t="s">
        <v>95</v>
      </c>
    </row>
    <row r="12" spans="1:6" x14ac:dyDescent="0.25">
      <c r="A12" t="s">
        <v>32</v>
      </c>
      <c r="B12" s="34">
        <v>899301000</v>
      </c>
      <c r="C12" s="34">
        <v>904059000</v>
      </c>
      <c r="D12" s="34">
        <v>903284000</v>
      </c>
      <c r="E12" s="34">
        <v>950182000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2026-09-19T01:03:59Z</dcterms:modified>
</cp:coreProperties>
</file>