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<sst xmlns="http://schemas.openxmlformats.org/spreadsheetml/2006/main" count="121" uniqueCount="108">
  <si>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Eli Lilly and Company (LLY)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</si>
  <si>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</si>
  <si>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</si>
  <si>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</si>
  <si>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</si>
  <si>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</si>
  <si>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</si>
  <si>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</si>
  <si>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</si>
  <si>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</si>
  <si>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</si>
  <si>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</si>
  <si>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</si>
  <si>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</si>
  <si>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</si>
  <si>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</si>
  <si>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</si>
  <si>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</si>
  <si>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</si>
  <si>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</si>
  <si>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</si>
  <si>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</si>
  <si>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</si>
  <si>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</si>
  <si>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</si>
  <si>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</si>
  <si>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</si>
  <si>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</si>
  <si>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</si>
  <si>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</si>
  <si>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</si>
  <si>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</si>
  <si>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</si>
  <si>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</si>
  <si>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</si>
  <si>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</si>
  <si>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</si>
  <si>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</si>
  <si>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</si>
  <si>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</si>
  <si>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</si>
  <si>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</si>
  <si>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</si>
  <si>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</si>
  <si>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</si>
  <si>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</si>
  <si>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</si>
  <si>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</si>
  <si>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</si>
  <si>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</si>
  <si>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</si>
  <si>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</si>
  <si>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</si>
  <si>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</si>
  <si>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</si>
  <si>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</si>
  <si>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</si>
  <si>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</si>
  <si>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</si>
  <si>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</si>
  <si>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</si>
  <si>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</si>
  <si>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</si>
  <si>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</si>
  <si>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</si>
  <si>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</si>
  <si>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</si>
  <si>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</si>
  <si>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</si>
  <si>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</si>
  <si>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</si>
  <si>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</si>
  <si>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</si>
  <si>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</si>
  <si>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</si>
  <si>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</si>
  <si>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</si>
  <si>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</si>
  <si>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</si>
  <si>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</si>
  <si>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</si>
  <si>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</si>
  <si>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</si>
  <si>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</si>
  <si>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</si>
  <si>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</si>
  <si>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</si>
  <si>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</si>
  <si>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</si>
  <si>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</si>
  <si>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</si>
  <si>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</si>
  <si>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</si>
  <si>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</si>
  <si>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</si>
  <si>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</si>
  <si>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</si>
  <si>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</si>
  <si>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</si>
  <si>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</si>
  <si>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</si>
  <si>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</si>
  <si>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</si>
  <si>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</si>
  <si>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</si>
  <si>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16.9% of revenue against depreciation of 4.2%.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</si>
  <si>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41.0x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</si>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</sst>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0.4010491345371976</v>
      </c>
    </row>
    <row r="7" spans="1:2" x14ac:dyDescent="0.25">
      <c r="A7" t="s">
        <v>4</v>
      </c>
      <c r="B7" s="5">
        <v>0.3566509816120914</v>
      </c>
    </row>
    <row r="8" spans="1:2" x14ac:dyDescent="0.25">
      <c r="A8" t="s">
        <v>5</v>
      </c>
      <c r="B8" s="5">
        <v>0.18134061309150104</v>
      </c>
    </row>
    <row r="9" spans="1:2" x14ac:dyDescent="0.25">
      <c r="A9" t="s">
        <v>6</v>
      </c>
      <c r="B9" s="5">
        <v>0.041990002950195886</v>
      </c>
    </row>
    <row r="10" spans="1:3" x14ac:dyDescent="0.25">
      <c r="A10" t="s">
        <v>7</v>
      </c>
      <c r="B10" s="5">
        <v>0.16856093735185718</v>
      </c>
      <c r="C10" s="6" t="s">
        <v>8</v>
      </c>
    </row>
    <row r="11" spans="1:2" x14ac:dyDescent="0.25">
      <c r="A11" t="s">
        <v>9</v>
      </c>
      <c r="B11" s="5">
        <v>0.35027524367089563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0.27162164661893234</v>
      </c>
      <c r="C14" s="6" t="s">
        <v>13</v>
      </c>
    </row>
    <row r="15" spans="1:3" x14ac:dyDescent="0.25">
      <c r="A15" t="s">
        <v>14</v>
      </c>
      <c r="B15" s="5">
        <v>0.041990002950195886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</v>
      </c>
      <c r="C19" s="6" t="s">
        <v>21</v>
      </c>
    </row>
    <row r="20" spans="1:2" x14ac:dyDescent="0.25">
      <c r="A20" t="s">
        <v>22</v>
      </c>
      <c r="B20" s="9">
        <f>B17+B19*B18</f>
        <v>0.09124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1262666776576</v>
      </c>
    </row>
    <row r="23" spans="1:2" x14ac:dyDescent="0.25">
      <c r="A23" t="s">
        <v>26</v>
      </c>
      <c r="B23" s="10">
        <v>42503000000</v>
      </c>
    </row>
    <row r="24" spans="1:2" x14ac:dyDescent="0.25">
      <c r="A24" t="s">
        <v>27</v>
      </c>
      <c r="B24" s="9">
        <f>B22/(B22+B23)</f>
        <v>0.9674348879641521</v>
      </c>
    </row>
    <row r="25" spans="1:2" x14ac:dyDescent="0.25">
      <c r="A25" t="s">
        <v>28</v>
      </c>
      <c r="B25" s="9">
        <f>1-B24</f>
        <v>0.03256511203584789</v>
      </c>
    </row>
    <row r="26" spans="1:2" x14ac:dyDescent="0.25">
      <c r="A26" t="s">
        <v>29</v>
      </c>
      <c r="B26" s="11">
        <f>B24*B20+B25*B21*(1-B8)</f>
        <v>0.0901066812848873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65179000000</v>
      </c>
      <c r="C29" s="6" t="s">
        <v>32</v>
      </c>
    </row>
    <row r="30" spans="1:2" x14ac:dyDescent="0.25">
      <c r="A30" t="s">
        <v>33</v>
      </c>
      <c r="B30" s="10">
        <v>35235000000</v>
      </c>
    </row>
    <row r="31" spans="1:2" x14ac:dyDescent="0.25">
      <c r="A31" t="s">
        <v>34</v>
      </c>
      <c r="B31" s="12">
        <v>899300000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0.4010491345371976</v>
      </c>
      <c r="C5" s="5">
        <v>0.14038555745811276</v>
      </c>
      <c r="D5" s="5">
        <v>0.12596236277584866</v>
      </c>
      <c r="E5" s="5">
        <v>0.11153916809358458</v>
      </c>
      <c r="F5" s="5">
        <v>0.09711597341132047</v>
      </c>
      <c r="G5" s="5">
        <v>0.08269277872905638</v>
      </c>
      <c r="H5" s="5">
        <v>0.06826958404679229</v>
      </c>
      <c r="I5" s="5">
        <v>0.05384638936452818</v>
      </c>
      <c r="J5" s="5">
        <v>0.03942319468226409</v>
      </c>
      <c r="K5" s="5">
        <v>0.024999999999999994</v>
      </c>
    </row>
    <row r="6" spans="1:11" x14ac:dyDescent="0.25">
      <c r="A6" t="s">
        <v>50</v>
      </c>
      <c r="B6" s="18">
        <f>Assumptions!B29*(1+B5)</f>
        <v>91318981540</v>
      </c>
      <c r="C6" s="18">
        <f>B6*(1+C5)</f>
        <v>104138847670.00002</v>
      </c>
      <c r="D6" s="18">
        <f>C6*(1+D5)</f>
        <v>117256422979.2674</v>
      </c>
      <c r="E6" s="18">
        <f>D6*(1+E5)</f>
        <v>130335106852.00436</v>
      </c>
      <c r="F6" s="18">
        <f>E6*(1+F5)</f>
        <v>142992727623.60522</v>
      </c>
      <c r="G6" s="18">
        <f>F6*(1+G5)</f>
        <v>154817193608.84824</v>
      </c>
      <c r="H6" s="18">
        <f>G6*(1+H5)</f>
        <v>165386499019.816</v>
      </c>
      <c r="I6" s="18">
        <f>H6*(1+I5)</f>
        <v>174291964841.6732</v>
      </c>
      <c r="J6" s="18">
        <f>I6*(1+J5)</f>
        <v>181163110903.1808</v>
      </c>
      <c r="K6" s="18">
        <f>J6*(1+K5)</f>
        <v>185692188675.76028</v>
      </c>
    </row>
    <row r="7" spans="1:11" x14ac:dyDescent="0.25">
      <c r="A7" t="s">
        <v>4</v>
      </c>
      <c r="B7" s="9">
        <f>Assumptions!B7</f>
        <v>0.3566509816120914</v>
      </c>
      <c r="C7" s="9">
        <f>Assumptions!B7</f>
        <v>0.3566509816120914</v>
      </c>
      <c r="D7" s="9">
        <f>Assumptions!B7</f>
        <v>0.3566509816120914</v>
      </c>
      <c r="E7" s="9">
        <f>Assumptions!B7</f>
        <v>0.3566509816120914</v>
      </c>
      <c r="F7" s="9">
        <f>Assumptions!B7</f>
        <v>0.3566509816120914</v>
      </c>
      <c r="G7" s="9">
        <f>Assumptions!B7</f>
        <v>0.3566509816120914</v>
      </c>
      <c r="H7" s="9">
        <f>Assumptions!B7</f>
        <v>0.3566509816120914</v>
      </c>
      <c r="I7" s="9">
        <f>Assumptions!B7</f>
        <v>0.3566509816120914</v>
      </c>
      <c r="J7" s="9">
        <f>Assumptions!B7</f>
        <v>0.3566509816120914</v>
      </c>
      <c r="K7" s="9">
        <f>Assumptions!B7</f>
        <v>0.3566509816120914</v>
      </c>
    </row>
    <row r="8" spans="1:11" x14ac:dyDescent="0.25">
      <c r="A8" t="s">
        <v>51</v>
      </c>
      <c r="B8" s="18">
        <f>B6*B7</f>
        <v>32569004406.057453</v>
      </c>
      <c r="C8" s="18">
        <f>C6*C7</f>
        <v>37141222245.457565</v>
      </c>
      <c r="D8" s="18">
        <f>D6*D7</f>
        <v>41819618355.87831</v>
      </c>
      <c r="E8" s="18">
        <f>E6*E7</f>
        <v>46484143797.28418</v>
      </c>
      <c r="F8" s="18">
        <f>F6*F7</f>
        <v>50998496670.34922</v>
      </c>
      <c r="G8" s="18">
        <f>G6*G7</f>
        <v>55215704071.024925</v>
      </c>
      <c r="H8" s="18">
        <f>H6*H7</f>
        <v>58985257220.80457</v>
      </c>
      <c r="I8" s="18">
        <f>I6*I7</f>
        <v>62161400347.882866</v>
      </c>
      <c r="J8" s="18">
        <f>J6*J7</f>
        <v>64612001335.51961</v>
      </c>
      <c r="K8" s="18">
        <f>K6*K7</f>
        <v>66227301368.90759</v>
      </c>
    </row>
    <row r="9" spans="1:11" x14ac:dyDescent="0.25">
      <c r="A9" t="s">
        <v>52</v>
      </c>
      <c r="B9" s="18">
        <f>B8*(1-Assumptions!B8)</f>
        <v>26662921179.283195</v>
      </c>
      <c r="C9" s="18">
        <f>C8*(1-Assumptions!B8)</f>
        <v>30406010232.498592</v>
      </c>
      <c r="D9" s="18">
        <f>D8*(1-Assumptions!B8)</f>
        <v>34236023123.970745</v>
      </c>
      <c r="E9" s="18">
        <f>E8*(1-Assumptions!B8)</f>
        <v>38054680662.05117</v>
      </c>
      <c r="F9" s="18">
        <f>F8*(1-Assumptions!B8)</f>
        <v>41750398017.40321</v>
      </c>
      <c r="G9" s="18">
        <f>G8*(1-Assumptions!B8)</f>
        <v>45202854442.50637</v>
      </c>
      <c r="H9" s="18">
        <f>H8*(1-Assumptions!B8)</f>
        <v>48288834513.02398</v>
      </c>
      <c r="I9" s="18">
        <f>I8*(1-Assumptions!B8)</f>
        <v>50889013898.17154</v>
      </c>
      <c r="J9" s="18">
        <f>J8*(1-Assumptions!B8)</f>
        <v>52895221400.26759</v>
      </c>
      <c r="K9" s="18">
        <f>K8*(1-Assumptions!B8)</f>
        <v>54217601935.274284</v>
      </c>
    </row>
    <row r="10" spans="1:11" x14ac:dyDescent="0.25">
      <c r="A10" t="s">
        <v>53</v>
      </c>
      <c r="B10" s="18">
        <f>B6*Assumptions!B9</f>
        <v>3834484304.2734838</v>
      </c>
      <c r="C10" s="18">
        <f>C6*Assumptions!B9</f>
        <v>4372790520.893301</v>
      </c>
      <c r="D10" s="18">
        <f>D6*Assumptions!B9</f>
        <v>4923597546.828855</v>
      </c>
      <c r="E10" s="18">
        <f>E6*Assumptions!B9</f>
        <v>5472771521.229759</v>
      </c>
      <c r="F10" s="18">
        <f>F6*Assumptions!B9</f>
        <v>6004265054.77174</v>
      </c>
      <c r="G10" s="18">
        <f>G6*Assumptions!B9</f>
        <v>6500774416.376585</v>
      </c>
      <c r="H10" s="18">
        <f>H6*Assumptions!B9</f>
        <v>6944579581.764644</v>
      </c>
      <c r="I10" s="18">
        <f>I6*Assumptions!B9</f>
        <v>7318520117.897295</v>
      </c>
      <c r="J10" s="18">
        <f>J6*Assumptions!B9</f>
        <v>7607039561.291225</v>
      </c>
      <c r="K10" s="18">
        <f>K6*Assumptions!B9</f>
        <v>7797215550.323505</v>
      </c>
    </row>
    <row r="11" spans="1:11" x14ac:dyDescent="0.25">
      <c r="A11" t="s">
        <v>54</v>
      </c>
      <c r="B11" s="18">
        <f>-B6*B19</f>
        <v>-15392813126.399342</v>
      </c>
      <c r="C11" s="18">
        <f>-C6*C19</f>
        <v>-16400143068.685942</v>
      </c>
      <c r="D11" s="18">
        <f>-D6*D19</f>
        <v>-17167035111.048</v>
      </c>
      <c r="E11" s="18">
        <f>-E6*E19</f>
        <v>-17638043998.537315</v>
      </c>
      <c r="F11" s="18">
        <f>-F6*F19</f>
        <v>-17766977013.12472</v>
      </c>
      <c r="G11" s="18">
        <f>-G6*G19</f>
        <v>-17521189321.72124</v>
      </c>
      <c r="H11" s="18">
        <f>-H6*H19</f>
        <v>-16885283694.43986</v>
      </c>
      <c r="I11" s="18">
        <f>-I6*I19</f>
        <v>-15863774969.47649</v>
      </c>
      <c r="J11" s="18">
        <f>-J6*J19</f>
        <v>-14482340211.50453</v>
      </c>
      <c r="K11" s="18">
        <f>-K6*K19</f>
        <v>-12787392383.628149</v>
      </c>
    </row>
    <row r="12" spans="1:11" x14ac:dyDescent="0.25">
      <c r="A12" t="s">
        <v>55</v>
      </c>
      <c r="B12" s="18">
        <f>-(B6-Assumptions!B29)*Assumptions!B11</f>
        <v>-9156188403.476213</v>
      </c>
      <c r="C12" s="18">
        <f>-(C6-B6)*Assumptions!B11</f>
        <v>-4490481732.514017</v>
      </c>
      <c r="D12" s="18">
        <f>-(D6-C6)*Assumptions!B11</f>
        <v>-4594761887.824956</v>
      </c>
      <c r="E12" s="18">
        <f>-(E6-D6)*Assumptions!B11</f>
        <v>-4581139180.417555</v>
      </c>
      <c r="F12" s="18">
        <f>-(F6-E6)*Assumptions!B11</f>
        <v>-4433651200.066281</v>
      </c>
      <c r="G12" s="18">
        <f>-(G6-F6)*Assumptions!B11</f>
        <v>-4141817704.259213</v>
      </c>
      <c r="H12" s="18">
        <f>-(H6-G6)*Assumptions!B11</f>
        <v>-3702166028.2588525</v>
      </c>
      <c r="I12" s="18">
        <f>-(I6-H6)*Assumptions!B11</f>
        <v>-3119364210.7538557</v>
      </c>
      <c r="J12" s="18">
        <f>-(J6-I6)*Assumptions!B11</f>
        <v>-2406792360.992889</v>
      </c>
      <c r="K12" s="18">
        <f>-(K6-J6)*Assumptions!B11</f>
        <v>-1586423820.394721</v>
      </c>
    </row>
    <row r="13" spans="1:11" x14ac:dyDescent="0.25">
      <c r="A13" s="19" t="s">
        <v>56</v>
      </c>
      <c r="B13" s="20">
        <f>B9+B10+B11+B12</f>
        <v>5948403953.681124</v>
      </c>
      <c r="C13" s="20">
        <f>C9+C10+C11+C12</f>
        <v>13888175952.19193</v>
      </c>
      <c r="D13" s="20">
        <f>D9+D10+D11+D12</f>
        <v>17397823671.926643</v>
      </c>
      <c r="E13" s="20">
        <f>E9+E10+E11+E12</f>
        <v>21308269004.326057</v>
      </c>
      <c r="F13" s="20">
        <f>F9+F10+F11+F12</f>
        <v>25554034858.983955</v>
      </c>
      <c r="G13" s="20">
        <f>G9+G10+G11+G12</f>
        <v>30040621832.902504</v>
      </c>
      <c r="H13" s="20">
        <f>H9+H10+H11+H12</f>
        <v>34645964372.08991</v>
      </c>
      <c r="I13" s="20">
        <f>I9+I10+I11+I12</f>
        <v>39224394835.83849</v>
      </c>
      <c r="J13" s="20">
        <f>J9+J10+J11+J12</f>
        <v>43613128389.0614</v>
      </c>
      <c r="K13" s="20">
        <f>K9+K10+K11+K12</f>
        <v>47641001281.57492</v>
      </c>
    </row>
    <row r="14" spans="1:11" x14ac:dyDescent="0.25">
      <c r="A14" t="s">
        <v>57</v>
      </c>
      <c r="B14" s="21">
        <f>1/(1+Assumptions!$B$26)^(1-0.5*Assumptions!$B$32)</f>
        <v>0.957779416120792</v>
      </c>
      <c r="C14" s="21">
        <f>1/(1+Assumptions!$B$26)^(2-0.5*Assumptions!$B$32)</f>
        <v>0.8786107200002448</v>
      </c>
      <c r="D14" s="21">
        <f>1/(1+Assumptions!$B$26)^(3-0.5*Assumptions!$B$32)</f>
        <v>0.8059859966775395</v>
      </c>
      <c r="E14" s="21">
        <f>1/(1+Assumptions!$B$26)^(4-0.5*Assumptions!$B$32)</f>
        <v>0.7393643305878465</v>
      </c>
      <c r="F14" s="21">
        <f>1/(1+Assumptions!$B$26)^(5-0.5*Assumptions!$B$32)</f>
        <v>0.6782495174842633</v>
      </c>
      <c r="G14" s="21">
        <f>1/(1+Assumptions!$B$26)^(6-0.5*Assumptions!$B$32)</f>
        <v>0.6221863686633166</v>
      </c>
      <c r="H14" s="21">
        <f>1/(1+Assumptions!$B$26)^(7-0.5*Assumptions!$B$32)</f>
        <v>0.5707573206779705</v>
      </c>
      <c r="I14" s="21">
        <f>1/(1+Assumptions!$B$26)^(8-0.5*Assumptions!$B$32)</f>
        <v>0.5235793252869804</v>
      </c>
      <c r="J14" s="21">
        <f>1/(1+Assumptions!$B$26)^(9-0.5*Assumptions!$B$32)</f>
        <v>0.4803009964766455</v>
      </c>
      <c r="K14" s="21">
        <f>1/(1+Assumptions!$B$26)^(10-0.5*Assumptions!$B$32)</f>
        <v>0.4405999933057233</v>
      </c>
    </row>
    <row r="15" spans="1:11" x14ac:dyDescent="0.25">
      <c r="A15" s="19" t="s">
        <v>58</v>
      </c>
      <c r="B15" s="20">
        <f>B13*B14</f>
        <v>5697258865.607317</v>
      </c>
      <c r="C15" s="20">
        <f>C13*C14</f>
        <v>12202300272.845438</v>
      </c>
      <c r="D15" s="20">
        <f>D13*D14</f>
        <v>14022402252.237885</v>
      </c>
      <c r="E15" s="20">
        <f>E13*E14</f>
        <v>15754574048.369293</v>
      </c>
      <c r="F15" s="20">
        <f>F13*F14</f>
        <v>17332011812.881912</v>
      </c>
      <c r="G15" s="20">
        <f>G13*G14</f>
        <v>18690865410.601555</v>
      </c>
      <c r="H15" s="20">
        <f>H13*H14</f>
        <v>19774437797.318462</v>
      </c>
      <c r="I15" s="20">
        <f>I13*I14</f>
        <v>20537082182.938435</v>
      </c>
      <c r="J15" s="20">
        <f>J13*J14</f>
        <v>20947429024.73007</v>
      </c>
      <c r="K15" s="20">
        <f>K13*K14</f>
        <v>20990624845.739864</v>
      </c>
    </row>
    <row r="17" spans="1:2" x14ac:dyDescent="0.25">
      <c r="A17" s="22" t="s">
        <v>59</v>
      </c>
      <c r="B17" s="23">
        <f>SUM(B15:K15)</f>
        <v>165948986513.27023</v>
      </c>
    </row>
    <row r="19" spans="1:11" x14ac:dyDescent="0.25">
      <c r="A19" t="s">
        <v>7</v>
      </c>
      <c r="B19" s="9">
        <f>Assumptions!$B$10+($B$20-Assumptions!$B$10)*0/9</f>
        <v>0.16856093735185718</v>
      </c>
      <c r="C19" s="9">
        <f>Assumptions!$B$10+($B$20-Assumptions!$B$10)*1/9</f>
        <v>0.1574834313574841</v>
      </c>
      <c r="D19" s="9">
        <f>Assumptions!$B$10+($B$20-Assumptions!$B$10)*2/9</f>
        <v>0.14640592536311103</v>
      </c>
      <c r="E19" s="9">
        <f>Assumptions!$B$10+($B$20-Assumptions!$B$10)*3/9</f>
        <v>0.13532841936873793</v>
      </c>
      <c r="F19" s="9">
        <f>Assumptions!$B$10+($B$20-Assumptions!$B$10)*4/9</f>
        <v>0.12425091337436486</v>
      </c>
      <c r="G19" s="9">
        <f>Assumptions!$B$10+($B$20-Assumptions!$B$10)*5/9</f>
        <v>0.11317340737999178</v>
      </c>
      <c r="H19" s="9">
        <f>Assumptions!$B$10+($B$20-Assumptions!$B$10)*6/9</f>
        <v>0.1020959013856187</v>
      </c>
      <c r="I19" s="9">
        <f>Assumptions!$B$10+($B$20-Assumptions!$B$10)*7/9</f>
        <v>0.09101839539124562</v>
      </c>
      <c r="J19" s="9">
        <f>Assumptions!$B$10+($B$20-Assumptions!$B$10)*8/9</f>
        <v>0.07994088939687255</v>
      </c>
      <c r="K19" s="9">
        <f>Assumptions!$B$10+($B$20-Assumptions!$B$10)*9/9</f>
        <v>0.06886338340249946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0.06886338340249946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47641001281.57492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54217601935.274284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0.09203979252461196</v>
      </c>
    </row>
    <row r="7" spans="1:2" x14ac:dyDescent="0.25">
      <c r="A7" t="s">
        <v>66</v>
      </c>
      <c r="B7" s="18">
        <f>-MAX(B5,0)*B6</f>
        <v>-4990176833.304645</v>
      </c>
    </row>
    <row r="8" spans="1:2" x14ac:dyDescent="0.25">
      <c r="A8" t="s">
        <v>67</v>
      </c>
      <c r="B8" s="18">
        <f>IF(OR(Assumptions!$B$33=0,Assumptions!B12&lt;=0),B5,MAX(B5+B7,0))</f>
        <v>49227425101.96964</v>
      </c>
    </row>
    <row r="9" spans="1:2" x14ac:dyDescent="0.25">
      <c r="A9" t="s">
        <v>68</v>
      </c>
      <c r="B9" s="18">
        <f>B8*(1+Assumptions!B12)/(Assumptions!B26-Assumptions!B12)</f>
        <v>775006646533.3922</v>
      </c>
    </row>
    <row r="10" spans="1:2" x14ac:dyDescent="0.25">
      <c r="A10" t="s">
        <v>69</v>
      </c>
      <c r="B10" s="18">
        <f>B9/(1+Assumptions!B26)^(10-0.5*Assumptions!B32)</f>
        <v>341467923274.50366</v>
      </c>
    </row>
    <row r="11" spans="1:2" x14ac:dyDescent="0.25">
      <c r="A11" t="s">
        <v>70</v>
      </c>
      <c r="B11" s="18">
        <f>Forecast!B17+B10</f>
        <v>507416909787.7739</v>
      </c>
    </row>
    <row r="12" spans="1:2" x14ac:dyDescent="0.25">
      <c r="A12" t="s">
        <v>71</v>
      </c>
      <c r="B12" s="18">
        <f>-Assumptions!B30</f>
        <v>-35235000000</v>
      </c>
    </row>
    <row r="13" spans="1:2" x14ac:dyDescent="0.25">
      <c r="A13" t="s">
        <v>72</v>
      </c>
      <c r="B13" s="18">
        <f>B11+B12</f>
        <v>472181909787.7739</v>
      </c>
    </row>
    <row r="14" spans="1:2" x14ac:dyDescent="0.25">
      <c r="A14" s="19" t="s">
        <v>73</v>
      </c>
      <c r="B14" s="24">
        <f>B13/Assumptions!B31</f>
        <v>525.0549424972467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74024516919.2311</v>
      </c>
    </row>
    <row r="18" spans="1:2" x14ac:dyDescent="0.25">
      <c r="A18" t="s">
        <v>68</v>
      </c>
      <c r="B18" s="18">
        <f>B17*Assumptions!B13</f>
        <v>1480490338384.6218</v>
      </c>
    </row>
    <row r="19" spans="1:2" x14ac:dyDescent="0.25">
      <c r="A19" t="s">
        <v>69</v>
      </c>
      <c r="B19" s="18">
        <f>B18/(1+Assumptions!B26)^(10-0.5*Assumptions!B32)</f>
        <v>652304033181.4524</v>
      </c>
    </row>
    <row r="20" spans="1:2" x14ac:dyDescent="0.25">
      <c r="A20" t="s">
        <v>70</v>
      </c>
      <c r="B20" s="18">
        <f>Forecast!B17+B19</f>
        <v>818253019694.7227</v>
      </c>
    </row>
    <row r="21" spans="1:2" x14ac:dyDescent="0.25">
      <c r="A21" t="s">
        <v>71</v>
      </c>
      <c r="B21" s="18">
        <f>-Assumptions!B30</f>
        <v>-35235000000</v>
      </c>
    </row>
    <row r="22" spans="1:2" x14ac:dyDescent="0.25">
      <c r="A22" t="s">
        <v>72</v>
      </c>
      <c r="B22" s="18">
        <f>B20+B21</f>
        <v>783018019694.7227</v>
      </c>
    </row>
    <row r="23" spans="1:2" x14ac:dyDescent="0.25">
      <c r="A23" s="19" t="s">
        <v>73</v>
      </c>
      <c r="B23" s="25">
        <f>B22/Assumptions!B31</f>
        <v>870.6972308403455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1417.54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525.0549424972467</v>
      </c>
    </row>
    <row r="29" spans="1:2" x14ac:dyDescent="0.25">
      <c r="A29" s="19" t="s">
        <v>81</v>
      </c>
      <c r="B29" s="11">
        <f>B28/B26-1</f>
        <v>-0.6296013216577686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0.070107</v>
      </c>
      <c r="B5" s="31">
        <v>723.5625254361719</v>
      </c>
      <c r="C5" s="31">
        <v>766.6084597885342</v>
      </c>
      <c r="D5" s="31">
        <v>819.7484940485501</v>
      </c>
      <c r="E5" s="31">
        <v>886.757817051455</v>
      </c>
      <c r="F5" s="31">
        <v>973.5622934721963</v>
      </c>
    </row>
    <row r="6" spans="1:6" x14ac:dyDescent="0.25">
      <c r="A6" s="30">
        <v>0.080107</v>
      </c>
      <c r="B6" s="31">
        <v>588.2298791550799</v>
      </c>
      <c r="C6" s="31">
        <v>614.0940928558074</v>
      </c>
      <c r="D6" s="31">
        <v>645.0776726760047</v>
      </c>
      <c r="E6" s="31">
        <v>682.7131488368398</v>
      </c>
      <c r="F6" s="31">
        <v>729.2125603812456</v>
      </c>
    </row>
    <row r="7" spans="1:6" x14ac:dyDescent="0.25">
      <c r="A7" s="30">
        <v>0.090107</v>
      </c>
      <c r="B7" s="31">
        <v>489.91625377325255</v>
      </c>
      <c r="C7" s="31">
        <v>506.0728601859359</v>
      </c>
      <c r="D7" s="32">
        <v>525.0517195626173</v>
      </c>
      <c r="E7" s="31">
        <v>547.5571391297425</v>
      </c>
      <c r="F7" s="31">
        <v>574.5490405462056</v>
      </c>
    </row>
    <row r="8" spans="1:6" x14ac:dyDescent="0.25">
      <c r="A8" s="30">
        <v>0.100107</v>
      </c>
      <c r="B8" s="31">
        <v>415.50658896000033</v>
      </c>
      <c r="C8" s="31">
        <v>425.8165961802439</v>
      </c>
      <c r="D8" s="31">
        <v>437.77867740181574</v>
      </c>
      <c r="E8" s="31">
        <v>451.7463081695252</v>
      </c>
      <c r="F8" s="31">
        <v>468.181546990016</v>
      </c>
    </row>
    <row r="9" spans="1:6" x14ac:dyDescent="0.25">
      <c r="A9" s="30">
        <v>0.110107</v>
      </c>
      <c r="B9" s="31">
        <v>357.40694226179556</v>
      </c>
      <c r="C9" s="31">
        <v>364.02818186851545</v>
      </c>
      <c r="D9" s="31">
        <v>371.66080483498683</v>
      </c>
      <c r="E9" s="31">
        <v>380.4941922439647</v>
      </c>
      <c r="F9" s="31">
        <v>390.7681548539352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65179000000</v>
      </c>
      <c r="C5" s="18">
        <v>45043000000</v>
      </c>
      <c r="D5" s="18">
        <v>34124000000</v>
      </c>
      <c r="E5" s="18">
        <v>28541400000</v>
      </c>
      <c r="F5" s="6" t="s">
        <v>91</v>
      </c>
    </row>
    <row r="6" spans="1:6" x14ac:dyDescent="0.25">
      <c r="A6" t="s">
        <v>51</v>
      </c>
      <c r="B6" s="18">
        <v>29696000000</v>
      </c>
      <c r="C6" s="18">
        <v>17040000000</v>
      </c>
      <c r="D6" s="18">
        <v>10325000000</v>
      </c>
      <c r="E6" s="18">
        <v>8280400000</v>
      </c>
      <c r="F6" s="6" t="s">
        <v>92</v>
      </c>
    </row>
    <row r="7" spans="1:6" x14ac:dyDescent="0.25">
      <c r="A7" t="s">
        <v>93</v>
      </c>
      <c r="B7" s="18">
        <v>1997000000</v>
      </c>
      <c r="C7" s="18">
        <v>1767000000</v>
      </c>
      <c r="D7" s="18">
        <v>1527000000</v>
      </c>
      <c r="E7" s="18">
        <v>1522500000</v>
      </c>
      <c r="F7" s="6" t="s">
        <v>94</v>
      </c>
    </row>
    <row r="8" spans="1:6" x14ac:dyDescent="0.25">
      <c r="A8" t="s">
        <v>95</v>
      </c>
      <c r="B8" s="18">
        <v>10849000000</v>
      </c>
      <c r="C8" s="18">
        <v>8404000000</v>
      </c>
      <c r="D8" s="18">
        <v>7392000000</v>
      </c>
      <c r="E8" s="18">
        <v>2985300000</v>
      </c>
      <c r="F8" s="6" t="s">
        <v>96</v>
      </c>
    </row>
    <row r="9" spans="1:6" x14ac:dyDescent="0.25">
      <c r="A9" t="s">
        <v>97</v>
      </c>
      <c r="B9" s="18">
        <v>8093000000</v>
      </c>
      <c r="C9" s="18">
        <v>5384000000</v>
      </c>
      <c r="D9" s="18">
        <v>3055000000</v>
      </c>
      <c r="E9" s="18">
        <v>800000</v>
      </c>
      <c r="F9" s="6" t="s">
        <v>98</v>
      </c>
    </row>
    <row r="10" spans="1:6" x14ac:dyDescent="0.25">
      <c r="A10" t="s">
        <v>99</v>
      </c>
      <c r="B10" s="18">
        <v>42503000000</v>
      </c>
      <c r="C10" s="18">
        <v>33644000000</v>
      </c>
      <c r="D10" s="18">
        <v>25225300000</v>
      </c>
      <c r="E10" s="18">
        <v>16238600000</v>
      </c>
      <c r="F10" s="6" t="s">
        <v>100</v>
      </c>
    </row>
    <row r="11" spans="1:6" x14ac:dyDescent="0.25">
      <c r="A11" t="s">
        <v>101</v>
      </c>
      <c r="B11" s="18">
        <v>7268000000</v>
      </c>
      <c r="C11" s="18">
        <v>3268000000</v>
      </c>
      <c r="D11" s="18">
        <v>2927700000</v>
      </c>
      <c r="E11" s="18">
        <v>2211800000</v>
      </c>
      <c r="F11" s="6" t="s">
        <v>102</v>
      </c>
    </row>
    <row r="12" spans="1:6" x14ac:dyDescent="0.25">
      <c r="A12" t="s">
        <v>34</v>
      </c>
      <c r="B12" s="34">
        <v>899300000</v>
      </c>
      <c r="C12" s="34">
        <v>904059000</v>
      </c>
      <c r="D12" s="34">
        <v>903284000</v>
      </c>
      <c r="E12" s="34">
        <v>950182000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