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<sst xmlns="http://schemas.openxmlformats.org/spreadsheetml/2006/main" count="111" uniqueCount="99">
  <si>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Lockheed Martin Corporation (LMT)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</si>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</sst>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0.043838941337237536</v>
      </c>
    </row>
    <row r="7" spans="1:2" x14ac:dyDescent="0.25">
      <c r="A7" t="s">
        <v>5</v>
      </c>
      <c r="B7" s="6">
        <v>0.1135354142899522</v>
      </c>
    </row>
    <row r="8" spans="1:2" x14ac:dyDescent="0.25">
      <c r="A8" t="s">
        <v>6</v>
      </c>
      <c r="B8" s="6">
        <v>0.14379510164472353</v>
      </c>
    </row>
    <row r="9" spans="1:2" x14ac:dyDescent="0.25">
      <c r="A9" t="s">
        <v>7</v>
      </c>
      <c r="B9" s="6">
        <v>0.02171605336330793</v>
      </c>
    </row>
    <row r="10" spans="1:2" x14ac:dyDescent="0.25">
      <c r="A10" t="s">
        <v>8</v>
      </c>
      <c r="B10" s="6">
        <v>0.02400633217176213</v>
      </c>
    </row>
    <row r="11" spans="1:2" x14ac:dyDescent="0.25">
      <c r="A11" t="s">
        <v>9</v>
      </c>
      <c r="B11" s="6">
        <v>-0.04644194756554307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14.937159563389255</v>
      </c>
    </row>
    <row r="14" spans="1:3" x14ac:dyDescent="0.25">
      <c r="A14" t="s">
        <v>12</v>
      </c>
      <c r="B14" s="6">
        <v>0.2604805259287134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0.39968</v>
      </c>
      <c r="C19" s="8" t="s">
        <v>19</v>
      </c>
    </row>
    <row r="20" spans="1:2" x14ac:dyDescent="0.25">
      <c r="A20" t="s">
        <v>20</v>
      </c>
      <c r="B20" s="10">
        <f>B17+B19*B18</f>
        <v>0.07196240000000001</v>
      </c>
    </row>
    <row r="21" spans="1:3" x14ac:dyDescent="0.25">
      <c r="A21" t="s">
        <v>21</v>
      </c>
      <c r="B21" s="6">
        <v>0.053276149630688587</v>
      </c>
      <c r="C21" s="8" t="s">
        <v>22</v>
      </c>
    </row>
    <row r="22" spans="1:2" x14ac:dyDescent="0.25">
      <c r="A22" t="s">
        <v>23</v>
      </c>
      <c r="B22" s="11">
        <v>123099168768</v>
      </c>
    </row>
    <row r="23" spans="1:2" x14ac:dyDescent="0.25">
      <c r="A23" t="s">
        <v>24</v>
      </c>
      <c r="B23" s="11">
        <v>21700000000</v>
      </c>
    </row>
    <row r="24" spans="1:2" x14ac:dyDescent="0.25">
      <c r="A24" t="s">
        <v>25</v>
      </c>
      <c r="B24" s="10">
        <f>B22/(B22+B23)</f>
        <v>0.8501372612520438</v>
      </c>
    </row>
    <row r="25" spans="1:2" x14ac:dyDescent="0.25">
      <c r="A25" t="s">
        <v>26</v>
      </c>
      <c r="B25" s="10">
        <f>1-B24</f>
        <v>0.1498627387479562</v>
      </c>
    </row>
    <row r="26" spans="1:2" x14ac:dyDescent="0.25">
      <c r="A26" t="s">
        <v>27</v>
      </c>
      <c r="B26" s="12">
        <f>B24*B20+B25*B21*(1-B8)</f>
        <v>0.06801395147779103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75048000000</v>
      </c>
      <c r="C29" s="8" t="s">
        <v>30</v>
      </c>
    </row>
    <row r="30" spans="1:2" x14ac:dyDescent="0.25">
      <c r="A30" t="s">
        <v>31</v>
      </c>
      <c r="B30" s="11">
        <v>17579000000</v>
      </c>
    </row>
    <row r="31" spans="1:2" x14ac:dyDescent="0.25">
      <c r="A31" t="s">
        <v>32</v>
      </c>
      <c r="B31" s="13">
        <v>233500000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0.043838941337237536</v>
      </c>
      <c r="C5" s="10">
        <f>Assumptions!B6</f>
        <v>0.043838941337237536</v>
      </c>
      <c r="D5" s="10">
        <f>Assumptions!B6</f>
        <v>0.043838941337237536</v>
      </c>
      <c r="E5" s="10">
        <f>Assumptions!B6</f>
        <v>0.043838941337237536</v>
      </c>
      <c r="F5" s="10">
        <f>Assumptions!B6</f>
        <v>0.043838941337237536</v>
      </c>
    </row>
    <row r="6" spans="1:6" x14ac:dyDescent="0.25">
      <c r="A6" t="s">
        <v>43</v>
      </c>
      <c r="B6" s="18">
        <f>Assumptions!B29*(1+B5)</f>
        <v>78338024869.477</v>
      </c>
      <c r="C6" s="18">
        <f>B6*(1+C5)</f>
        <v>81772280946.20506</v>
      </c>
      <c r="D6" s="18">
        <f>C6*(1+D5)</f>
        <v>85357091173.61786</v>
      </c>
      <c r="E6" s="18">
        <f>D6*(1+E5)</f>
        <v>89099055686.29533</v>
      </c>
      <c r="F6" s="18">
        <f>E6*(1+F5)</f>
        <v>93005063961.7301</v>
      </c>
    </row>
    <row r="7" spans="1:6" x14ac:dyDescent="0.25">
      <c r="A7" t="s">
        <v>5</v>
      </c>
      <c r="B7" s="10">
        <f>Assumptions!B7</f>
        <v>0.1135354142899522</v>
      </c>
      <c r="C7" s="10">
        <f>Assumptions!B7</f>
        <v>0.1135354142899522</v>
      </c>
      <c r="D7" s="10">
        <f>Assumptions!B7</f>
        <v>0.1135354142899522</v>
      </c>
      <c r="E7" s="10">
        <f>Assumptions!B7</f>
        <v>0.1135354142899522</v>
      </c>
      <c r="F7" s="10">
        <f>Assumptions!B7</f>
        <v>0.1135354142899522</v>
      </c>
    </row>
    <row r="8" spans="1:6" x14ac:dyDescent="0.25">
      <c r="A8" t="s">
        <v>44</v>
      </c>
      <c r="B8" s="18">
        <f>B6*B7</f>
        <v>8894140108.21265</v>
      </c>
      <c r="C8" s="18">
        <f>C6*C7</f>
        <v>9284049794.661757</v>
      </c>
      <c r="D8" s="18">
        <f>D6*D7</f>
        <v>9691052708.981926</v>
      </c>
      <c r="E8" s="18">
        <f>E6*E7</f>
        <v>10115898200.187063</v>
      </c>
      <c r="F8" s="18">
        <f>F6*F7</f>
        <v>10559368467.95853</v>
      </c>
    </row>
    <row r="9" spans="1:6" x14ac:dyDescent="0.25">
      <c r="A9" t="s">
        <v>45</v>
      </c>
      <c r="B9" s="18">
        <f>B8*(1-Assumptions!B8)</f>
        <v>7615206327.3098</v>
      </c>
      <c r="C9" s="18">
        <f>C8*(1-Assumptions!B8)</f>
        <v>7949048910.763695</v>
      </c>
      <c r="D9" s="18">
        <f>D8*(1-Assumptions!B8)</f>
        <v>8297526799.649497</v>
      </c>
      <c r="E9" s="18">
        <f>E8*(1-Assumptions!B8)</f>
        <v>8661281590.263489</v>
      </c>
      <c r="F9" s="18">
        <f>F8*(1-Assumptions!B8)</f>
        <v>9040983005.804344</v>
      </c>
    </row>
    <row r="10" spans="1:6" x14ac:dyDescent="0.25">
      <c r="A10" t="s">
        <v>46</v>
      </c>
      <c r="B10" s="18">
        <f>B6*Assumptions!B9</f>
        <v>1701192728.4417064</v>
      </c>
      <c r="C10" s="18">
        <f>C6*Assumptions!B9</f>
        <v>1775771216.6671975</v>
      </c>
      <c r="D10" s="18">
        <f>D6*Assumptions!B9</f>
        <v>1853619146.863026</v>
      </c>
      <c r="E10" s="18">
        <f>E6*Assumptions!B9</f>
        <v>1934879847.9039345</v>
      </c>
      <c r="F10" s="18">
        <f>F6*Assumptions!B9</f>
        <v>2019702932.0507982</v>
      </c>
    </row>
    <row r="11" spans="1:6" x14ac:dyDescent="0.25">
      <c r="A11" t="s">
        <v>47</v>
      </c>
      <c r="B11" s="18">
        <f>-B6*Assumptions!B10</f>
        <v>-1880608646.6964278</v>
      </c>
      <c r="C11" s="18">
        <f>-C6*Assumptions!B10</f>
        <v>-1963052538.837254</v>
      </c>
      <c r="D11" s="18">
        <f>-D6*Assumptions!B10</f>
        <v>-2049110683.9292557</v>
      </c>
      <c r="E11" s="18">
        <f>-E6*Assumptions!B10</f>
        <v>-2138941526.9955373</v>
      </c>
      <c r="F11" s="18">
        <f>-F6*Assumptions!B10</f>
        <v>-2232710459.121276</v>
      </c>
    </row>
    <row r="12" spans="1:6" x14ac:dyDescent="0.25">
      <c r="A12" t="s">
        <v>48</v>
      </c>
      <c r="B12" s="18">
        <f>-(B6-Assumptions!B29)*Assumptions!B11</f>
        <v>152795162.47758374</v>
      </c>
      <c r="C12" s="18">
        <f>-(C6-B6)*Assumptions!B11</f>
        <v>159493540.6420521</v>
      </c>
      <c r="D12" s="18">
        <f>-(D6-C6)*Assumptions!B11</f>
        <v>166485568.6139276</v>
      </c>
      <c r="E12" s="18">
        <f>-(E6-D6)*Assumptions!B11</f>
        <v>173784119.6898902</v>
      </c>
      <c r="F12" s="18">
        <f>-(F6-E6)*Assumptions!B11</f>
        <v>181402631.51831883</v>
      </c>
    </row>
    <row r="13" spans="1:6" x14ac:dyDescent="0.25">
      <c r="A13" s="19" t="s">
        <v>49</v>
      </c>
      <c r="B13" s="20">
        <f>B9+B10+B11+B12</f>
        <v>7588585571.532662</v>
      </c>
      <c r="C13" s="20">
        <f>C9+C10+C11+C12</f>
        <v>7921261129.235691</v>
      </c>
      <c r="D13" s="20">
        <f>D9+D10+D11+D12</f>
        <v>8268520831.197196</v>
      </c>
      <c r="E13" s="20">
        <f>E9+E10+E11+E12</f>
        <v>8631004030.861776</v>
      </c>
      <c r="F13" s="20">
        <f>F9+F10+F11+F12</f>
        <v>9009378110.252186</v>
      </c>
    </row>
    <row r="14" spans="1:6" x14ac:dyDescent="0.25">
      <c r="A14" t="s">
        <v>50</v>
      </c>
      <c r="B14" s="21">
        <f>1/(1+Assumptions!$B$26)^(1-0.5*Assumptions!$B$32)</f>
        <v>0.9676349294705382</v>
      </c>
      <c r="C14" s="21">
        <f>1/(1+Assumptions!$B$26)^(2-0.5*Assumptions!$B$32)</f>
        <v>0.9060133794428805</v>
      </c>
      <c r="D14" s="21">
        <f>1/(1+Assumptions!$B$26)^(3-0.5*Assumptions!$B$32)</f>
        <v>0.8483160526032891</v>
      </c>
      <c r="E14" s="21">
        <f>1/(1+Assumptions!$B$26)^(4-0.5*Assumptions!$B$32)</f>
        <v>0.7942930440463722</v>
      </c>
      <c r="F14" s="21">
        <f>1/(1+Assumptions!$B$26)^(5-0.5*Assumptions!$B$32)</f>
        <v>0.7437103634716791</v>
      </c>
    </row>
    <row r="15" spans="1:6" x14ac:dyDescent="0.25">
      <c r="A15" s="19" t="s">
        <v>51</v>
      </c>
      <c r="B15" s="20">
        <f>B13*B14</f>
        <v>7342980464.291152</v>
      </c>
      <c r="C15" s="20">
        <f>C13*C14</f>
        <v>7176768565.148356</v>
      </c>
      <c r="D15" s="20">
        <f>D13*D14</f>
        <v>7014318952.389273</v>
      </c>
      <c r="E15" s="20">
        <f>E13*E14</f>
        <v>6855546464.8497095</v>
      </c>
      <c r="F15" s="20">
        <f>F13*F14</f>
        <v>6700367869.029442</v>
      </c>
    </row>
    <row r="17" spans="1:2" x14ac:dyDescent="0.25">
      <c r="A17" s="22" t="s">
        <v>52</v>
      </c>
      <c r="B17" s="23">
        <f>SUM(B15:F15)</f>
        <v>35089982315.70793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9009378110.252186</v>
      </c>
    </row>
    <row r="5" spans="1:2" x14ac:dyDescent="0.25">
      <c r="A5" t="s">
        <v>56</v>
      </c>
      <c r="B5" s="18">
        <f>IF(Assumptions!$B$33=0,B4,B4-Forecast!F11-Forecast!F10-Forecast!F12)</f>
        <v>9684304875.41012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0.09597646469295688</v>
      </c>
    </row>
    <row r="7" spans="1:2" x14ac:dyDescent="0.25">
      <c r="A7" t="s">
        <v>58</v>
      </c>
      <c r="B7" s="18">
        <f>-MAX(Forecast!F9,0)*B6</f>
        <v>-929465344.9506296</v>
      </c>
    </row>
    <row r="8" spans="1:2" x14ac:dyDescent="0.25">
      <c r="A8" t="s">
        <v>59</v>
      </c>
      <c r="B8" s="18">
        <f>IF(OR(Assumptions!$B$33=0,Assumptions!B12&lt;=0),B5,MAX(B5+B7,0))</f>
        <v>8754839530.45949</v>
      </c>
    </row>
    <row r="9" spans="1:2" x14ac:dyDescent="0.25">
      <c r="A9" t="s">
        <v>60</v>
      </c>
      <c r="B9" s="18">
        <f>B8*(1+Assumptions!B12)/(Assumptions!B26-Assumptions!B12)</f>
        <v>208623253861.11722</v>
      </c>
    </row>
    <row r="10" spans="1:2" x14ac:dyDescent="0.25">
      <c r="A10" t="s">
        <v>61</v>
      </c>
      <c r="B10" s="18">
        <f>B9/(1+Assumptions!B26)^(5-0.5*Assumptions!B32)</f>
        <v>155155275957.69586</v>
      </c>
    </row>
    <row r="11" spans="1:2" x14ac:dyDescent="0.25">
      <c r="A11" t="s">
        <v>62</v>
      </c>
      <c r="B11" s="18">
        <f>Forecast!B17+B10</f>
        <v>190245258273.4038</v>
      </c>
    </row>
    <row r="12" spans="1:2" x14ac:dyDescent="0.25">
      <c r="A12" t="s">
        <v>63</v>
      </c>
      <c r="B12" s="18">
        <f>-Assumptions!B30</f>
        <v>-17579000000</v>
      </c>
    </row>
    <row r="13" spans="1:2" x14ac:dyDescent="0.25">
      <c r="A13" t="s">
        <v>64</v>
      </c>
      <c r="B13" s="18">
        <f>B11+B12</f>
        <v>172666258273.4038</v>
      </c>
    </row>
    <row r="14" spans="1:2" x14ac:dyDescent="0.25">
      <c r="A14" s="19" t="s">
        <v>65</v>
      </c>
      <c r="B14" s="24">
        <f>B13/Assumptions!B31</f>
        <v>739.4700568454125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12579071400.009329</v>
      </c>
    </row>
    <row r="18" spans="1:2" x14ac:dyDescent="0.25">
      <c r="A18" t="s">
        <v>60</v>
      </c>
      <c r="B18" s="18">
        <f>B17*Assumptions!B13</f>
        <v>187895596661.2056</v>
      </c>
    </row>
    <row r="19" spans="1:2" x14ac:dyDescent="0.25">
      <c r="A19" t="s">
        <v>61</v>
      </c>
      <c r="B19" s="18">
        <f>B18/(1+Assumptions!B26)^(5-0.5*Assumptions!B32)</f>
        <v>139739902487.6332</v>
      </c>
    </row>
    <row r="20" spans="1:2" x14ac:dyDescent="0.25">
      <c r="A20" t="s">
        <v>62</v>
      </c>
      <c r="B20" s="18">
        <f>Forecast!B17+B19</f>
        <v>174829884803.34113</v>
      </c>
    </row>
    <row r="21" spans="1:2" x14ac:dyDescent="0.25">
      <c r="A21" t="s">
        <v>63</v>
      </c>
      <c r="B21" s="18">
        <f>-Assumptions!B30</f>
        <v>-17579000000</v>
      </c>
    </row>
    <row r="22" spans="1:2" x14ac:dyDescent="0.25">
      <c r="A22" t="s">
        <v>64</v>
      </c>
      <c r="B22" s="18">
        <f>B20+B21</f>
        <v>157250884803.34113</v>
      </c>
    </row>
    <row r="23" spans="1:2" x14ac:dyDescent="0.25">
      <c r="A23" s="19" t="s">
        <v>65</v>
      </c>
      <c r="B23" s="25">
        <f>B22/Assumptions!B31</f>
        <v>673.4513267809042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533.38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739.4700568454125</v>
      </c>
    </row>
    <row r="29" spans="1:2" x14ac:dyDescent="0.25">
      <c r="A29" s="19" t="s">
        <v>73</v>
      </c>
      <c r="B29" s="12">
        <f>B28/B26-1</f>
        <v>0.38638504789345784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0.048014</v>
      </c>
      <c r="B5" s="31">
        <v>1055.2454850200565</v>
      </c>
      <c r="C5" s="31">
        <v>1211.0962274536269</v>
      </c>
      <c r="D5" s="31">
        <v>1434.3868290038038</v>
      </c>
      <c r="E5" s="31">
        <v>1781.273495219</v>
      </c>
      <c r="F5" s="31">
        <v>2394.213654251612</v>
      </c>
    </row>
    <row r="6" spans="1:6" x14ac:dyDescent="0.25">
      <c r="A6" s="30">
        <v>0.058014</v>
      </c>
      <c r="B6" s="31">
        <v>794.1134902301843</v>
      </c>
      <c r="C6" s="31">
        <v>875.6512314132967</v>
      </c>
      <c r="D6" s="31">
        <v>981.6998041165527</v>
      </c>
      <c r="E6" s="31">
        <v>1125.3834488197888</v>
      </c>
      <c r="F6" s="31">
        <v>1331.2318465866922</v>
      </c>
    </row>
    <row r="7" spans="1:6" x14ac:dyDescent="0.25">
      <c r="A7" s="30">
        <v>0.068014</v>
      </c>
      <c r="B7" s="31">
        <v>631.5414065089553</v>
      </c>
      <c r="C7" s="31">
        <v>679.9473397264193</v>
      </c>
      <c r="D7" s="32">
        <v>739.4691546737766</v>
      </c>
      <c r="E7" s="31">
        <v>814.4930834220647</v>
      </c>
      <c r="F7" s="31">
        <v>912.0625532146937</v>
      </c>
    </row>
    <row r="8" spans="1:6" x14ac:dyDescent="0.25">
      <c r="A8" s="30">
        <v>0.078014</v>
      </c>
      <c r="B8" s="31">
        <v>520.6040937402611</v>
      </c>
      <c r="C8" s="31">
        <v>551.7213662943045</v>
      </c>
      <c r="D8" s="31">
        <v>588.6011752181639</v>
      </c>
      <c r="E8" s="31">
        <v>633.0437880493758</v>
      </c>
      <c r="F8" s="31">
        <v>687.6865335323084</v>
      </c>
    </row>
    <row r="9" spans="1:6" x14ac:dyDescent="0.25">
      <c r="A9" s="30">
        <v>0.088014</v>
      </c>
      <c r="B9" s="31">
        <v>440.08400816949785</v>
      </c>
      <c r="C9" s="31">
        <v>461.20916531182274</v>
      </c>
      <c r="D9" s="31">
        <v>485.6003431150139</v>
      </c>
      <c r="E9" s="31">
        <v>514.1019982604416</v>
      </c>
      <c r="F9" s="31">
        <v>547.877166175229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75048000000</v>
      </c>
      <c r="C5" s="18">
        <v>71043000000</v>
      </c>
      <c r="D5" s="18">
        <v>67571000000</v>
      </c>
      <c r="E5" s="18">
        <v>65984000000</v>
      </c>
      <c r="F5" s="8" t="s">
        <v>84</v>
      </c>
    </row>
    <row r="6" spans="1:6" x14ac:dyDescent="0.25">
      <c r="A6" t="s">
        <v>44</v>
      </c>
      <c r="B6" s="18">
        <v>7731000000</v>
      </c>
      <c r="C6" s="18">
        <v>7013000000</v>
      </c>
      <c r="D6" s="18">
        <v>8507000000</v>
      </c>
      <c r="E6" s="18">
        <v>8348000000</v>
      </c>
      <c r="F6" s="8" t="s">
        <v>85</v>
      </c>
    </row>
    <row r="7" spans="1:6" x14ac:dyDescent="0.25">
      <c r="A7" t="s">
        <v>86</v>
      </c>
      <c r="B7" s="18">
        <v>1687000000</v>
      </c>
      <c r="C7" s="18">
        <v>1559000000</v>
      </c>
      <c r="D7" s="18">
        <v>1430000000</v>
      </c>
      <c r="E7" s="18">
        <v>1404000000</v>
      </c>
      <c r="F7" s="8" t="s">
        <v>87</v>
      </c>
    </row>
    <row r="8" spans="1:6" x14ac:dyDescent="0.25">
      <c r="A8" t="s">
        <v>88</v>
      </c>
      <c r="B8" s="18">
        <v>1649000000</v>
      </c>
      <c r="C8" s="18">
        <v>1685000000</v>
      </c>
      <c r="D8" s="18">
        <v>1691000000</v>
      </c>
      <c r="E8" s="18">
        <v>1670000000</v>
      </c>
      <c r="F8" s="8" t="s">
        <v>89</v>
      </c>
    </row>
    <row r="9" spans="1:6" x14ac:dyDescent="0.25">
      <c r="A9" t="s">
        <v>90</v>
      </c>
      <c r="B9" s="18">
        <v>-186000000</v>
      </c>
      <c r="C9" s="18">
        <v>163000000</v>
      </c>
      <c r="D9" s="18">
        <v>-184000000</v>
      </c>
      <c r="E9" s="18">
        <v>585000000</v>
      </c>
      <c r="F9" s="8" t="s">
        <v>91</v>
      </c>
    </row>
    <row r="10" spans="1:6" x14ac:dyDescent="0.25">
      <c r="A10" t="s">
        <v>92</v>
      </c>
      <c r="B10" s="18">
        <v>21700000000</v>
      </c>
      <c r="C10" s="18">
        <v>20270000000</v>
      </c>
      <c r="D10" s="18">
        <v>17459000000</v>
      </c>
      <c r="E10" s="18">
        <v>15547000000</v>
      </c>
      <c r="F10" s="8" t="s">
        <v>93</v>
      </c>
    </row>
    <row r="11" spans="1:6" x14ac:dyDescent="0.25">
      <c r="A11" t="s">
        <v>94</v>
      </c>
      <c r="B11" s="18">
        <v>4121000000</v>
      </c>
      <c r="C11" s="18">
        <v>2483000000</v>
      </c>
      <c r="D11" s="18">
        <v>1442000000</v>
      </c>
      <c r="E11" s="18">
        <v>2547000000</v>
      </c>
      <c r="F11" s="8" t="s">
        <v>95</v>
      </c>
    </row>
    <row r="12" spans="1:6" x14ac:dyDescent="0.25">
      <c r="A12" t="s">
        <v>32</v>
      </c>
      <c r="B12" s="34">
        <v>233500000</v>
      </c>
      <c r="C12" s="34">
        <v>239200000</v>
      </c>
      <c r="D12" s="34">
        <v>251200000</v>
      </c>
      <c r="E12" s="34">
        <v>264600000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2026-09-19T01:05:22Z</dcterms:modified>
</cp:coreProperties>
</file>