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<sst xmlns="http://schemas.openxmlformats.org/spreadsheetml/2006/main" count="119" uniqueCount="106">
  <si>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Lockheed Martin Corporation (LMT)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</si>
  <si>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</si>
  <si>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</si>
  <si>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</si>
  <si>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</si>
  <si>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</si>
  <si>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</si>
  <si>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</si>
  <si>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</si>
  <si>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</si>
  <si>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</si>
  <si>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</si>
  <si>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</si>
  <si>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</si>
  <si>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</si>
  <si>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</si>
  <si>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</si>
  <si>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</si>
  <si>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</si>
  <si>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</si>
  <si>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</si>
  <si>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</si>
  <si>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</si>
  <si>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</si>
  <si>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6.9x interest cover. Book interest / average debt was lower, at 5.3%.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</si>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</sst>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0.08462288735209467</v>
      </c>
    </row>
    <row r="7" spans="1:2" x14ac:dyDescent="0.25">
      <c r="A7" t="s">
        <v>4</v>
      </c>
      <c r="B7" s="5">
        <v>0.1135354142899522</v>
      </c>
    </row>
    <row r="8" spans="1:2" x14ac:dyDescent="0.25">
      <c r="A8" t="s">
        <v>5</v>
      </c>
      <c r="B8" s="5">
        <v>0.14379510164472353</v>
      </c>
    </row>
    <row r="9" spans="1:2" x14ac:dyDescent="0.25">
      <c r="A9" t="s">
        <v>6</v>
      </c>
      <c r="B9" s="5">
        <v>0.02171605336330793</v>
      </c>
    </row>
    <row r="10" spans="1:3" x14ac:dyDescent="0.25">
      <c r="A10" t="s">
        <v>7</v>
      </c>
      <c r="B10" s="5">
        <v>0.02400633217176213</v>
      </c>
      <c r="C10" s="6" t="s">
        <v>8</v>
      </c>
    </row>
    <row r="11" spans="1:2" x14ac:dyDescent="0.25">
      <c r="A11" t="s">
        <v>9</v>
      </c>
      <c r="B11" s="5">
        <v>0.05064170020245782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17.48963819749416</v>
      </c>
    </row>
    <row r="14" spans="1:3" x14ac:dyDescent="0.25">
      <c r="A14" t="s">
        <v>12</v>
      </c>
      <c r="B14" s="5">
        <v>0.2604805259287134</v>
      </c>
      <c r="C14" s="6" t="s">
        <v>13</v>
      </c>
    </row>
    <row r="15" spans="1:3" x14ac:dyDescent="0.25">
      <c r="A15" t="s">
        <v>14</v>
      </c>
      <c r="B15" s="5">
        <v>0.0136373062911603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0.39364999999999994</v>
      </c>
      <c r="C19" s="6" t="s">
        <v>21</v>
      </c>
    </row>
    <row r="20" spans="1:2" x14ac:dyDescent="0.25">
      <c r="A20" t="s">
        <v>22</v>
      </c>
      <c r="B20" s="9">
        <f>B17+B19*B18</f>
        <v>0.065591395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147138412544</v>
      </c>
    </row>
    <row r="23" spans="1:2" x14ac:dyDescent="0.25">
      <c r="A23" t="s">
        <v>26</v>
      </c>
      <c r="B23" s="10">
        <v>21700000000</v>
      </c>
    </row>
    <row r="24" spans="1:2" x14ac:dyDescent="0.25">
      <c r="A24" t="s">
        <v>27</v>
      </c>
      <c r="B24" s="9">
        <f>B22/(B22+B23)</f>
        <v>0.8714747451540692</v>
      </c>
    </row>
    <row r="25" spans="1:2" x14ac:dyDescent="0.25">
      <c r="A25" t="s">
        <v>28</v>
      </c>
      <c r="B25" s="9">
        <f>1-B24</f>
        <v>0.1285252548459308</v>
      </c>
    </row>
    <row r="26" spans="1:2" x14ac:dyDescent="0.25">
      <c r="A26" t="s">
        <v>29</v>
      </c>
      <c r="B26" s="11">
        <f>B24*B20+B25*B21*(1-B8)</f>
        <v>0.06315203703025801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75048000000</v>
      </c>
      <c r="C29" s="6" t="s">
        <v>32</v>
      </c>
    </row>
    <row r="30" spans="1:2" x14ac:dyDescent="0.25">
      <c r="A30" t="s">
        <v>33</v>
      </c>
      <c r="B30" s="10">
        <v>17579000000</v>
      </c>
    </row>
    <row r="31" spans="1:2" x14ac:dyDescent="0.25">
      <c r="A31" t="s">
        <v>34</v>
      </c>
      <c r="B31" s="12">
        <v>233500000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0.08462288735209467</v>
      </c>
      <c r="C5" s="5">
        <v>0.07036667686012432</v>
      </c>
      <c r="D5" s="5">
        <v>0.06469584225260878</v>
      </c>
      <c r="E5" s="5">
        <v>0.05902500764509324</v>
      </c>
      <c r="F5" s="5">
        <v>0.0533541730375777</v>
      </c>
      <c r="G5" s="5">
        <v>0.04768333843006216</v>
      </c>
      <c r="H5" s="5">
        <v>0.04201250382254662</v>
      </c>
      <c r="I5" s="5">
        <v>0.03634166921503108</v>
      </c>
      <c r="J5" s="5">
        <v>0.03067083460751554</v>
      </c>
      <c r="K5" s="5">
        <v>0.025</v>
      </c>
    </row>
    <row r="6" spans="1:11" x14ac:dyDescent="0.25">
      <c r="A6" t="s">
        <v>50</v>
      </c>
      <c r="B6" s="18">
        <f>Assumptions!B29*(1+B5)</f>
        <v>81398778450</v>
      </c>
      <c r="C6" s="18">
        <f>B6*(1+C5)</f>
        <v>87126539990</v>
      </c>
      <c r="D6" s="18">
        <f>C6*(1+D5)</f>
        <v>92763264877.20865</v>
      </c>
      <c r="E6" s="18">
        <f>D6*(1+E5)</f>
        <v>98238617295.76971</v>
      </c>
      <c r="F6" s="18">
        <f>E6*(1+F5)</f>
        <v>103480057481.94058</v>
      </c>
      <c r="G6" s="18">
        <f>F6*(1+G5)</f>
        <v>108414332083.61424</v>
      </c>
      <c r="H6" s="18">
        <f>G6*(1+H5)</f>
        <v>112969089624.6959</v>
      </c>
      <c r="I6" s="18">
        <f>H6*(1+I5)</f>
        <v>117074574911.35982</v>
      </c>
      <c r="J6" s="18">
        <f>I6*(1+J5)</f>
        <v>120665349835.21132</v>
      </c>
      <c r="K6" s="18">
        <f>J6*(1+K5)</f>
        <v>123681983581.0916</v>
      </c>
    </row>
    <row r="7" spans="1:11" x14ac:dyDescent="0.25">
      <c r="A7" t="s">
        <v>4</v>
      </c>
      <c r="B7" s="9">
        <f>Assumptions!B7</f>
        <v>0.1135354142899522</v>
      </c>
      <c r="C7" s="9">
        <f>Assumptions!B7</f>
        <v>0.1135354142899522</v>
      </c>
      <c r="D7" s="9">
        <f>Assumptions!B7</f>
        <v>0.1135354142899522</v>
      </c>
      <c r="E7" s="9">
        <f>Assumptions!B7</f>
        <v>0.1135354142899522</v>
      </c>
      <c r="F7" s="9">
        <f>Assumptions!B7</f>
        <v>0.1135354142899522</v>
      </c>
      <c r="G7" s="9">
        <f>Assumptions!B7</f>
        <v>0.1135354142899522</v>
      </c>
      <c r="H7" s="9">
        <f>Assumptions!B7</f>
        <v>0.1135354142899522</v>
      </c>
      <c r="I7" s="9">
        <f>Assumptions!B7</f>
        <v>0.1135354142899522</v>
      </c>
      <c r="J7" s="9">
        <f>Assumptions!B7</f>
        <v>0.1135354142899522</v>
      </c>
      <c r="K7" s="9">
        <f>Assumptions!B7</f>
        <v>0.1135354142899522</v>
      </c>
    </row>
    <row r="8" spans="1:11" x14ac:dyDescent="0.25">
      <c r="A8" t="s">
        <v>51</v>
      </c>
      <c r="B8" s="18">
        <f>B6*B7</f>
        <v>9241644034.016783</v>
      </c>
      <c r="C8" s="18">
        <f>C6*C7</f>
        <v>9891947813.414738</v>
      </c>
      <c r="D8" s="18">
        <f>D6*D7</f>
        <v>10531915708.722456</v>
      </c>
      <c r="E8" s="18">
        <f>E6*E7</f>
        <v>11153562113.947279</v>
      </c>
      <c r="F8" s="18">
        <f>F6*F7</f>
        <v>11748651196.960192</v>
      </c>
      <c r="G8" s="18">
        <f>G6*G7</f>
        <v>12308866108.0816</v>
      </c>
      <c r="H8" s="18">
        <f>H6*H7</f>
        <v>12825992392.49859</v>
      </c>
      <c r="I8" s="18">
        <f>I6*I7</f>
        <v>13292110365.38128</v>
      </c>
      <c r="J8" s="18">
        <f>J6*J7</f>
        <v>13699790483.982733</v>
      </c>
      <c r="K8" s="18">
        <f>K6*K7</f>
        <v>14042285246.0823</v>
      </c>
    </row>
    <row r="9" spans="1:11" x14ac:dyDescent="0.25">
      <c r="A9" t="s">
        <v>52</v>
      </c>
      <c r="B9" s="18">
        <f>B8*(1-Assumptions!B8)</f>
        <v>7912740890.780987</v>
      </c>
      <c r="C9" s="18">
        <f>C8*(1-Assumptions!B8)</f>
        <v>8469534172.120464</v>
      </c>
      <c r="D9" s="18">
        <f>D8*(1-Assumptions!B8)</f>
        <v>9017477818.87305</v>
      </c>
      <c r="E9" s="18">
        <f>E8*(1-Assumptions!B8)</f>
        <v>9549734516.071493</v>
      </c>
      <c r="F9" s="18">
        <f>F8*(1-Assumptions!B8)</f>
        <v>10059252703.904898</v>
      </c>
      <c r="G9" s="18">
        <f>G8*(1-Assumptions!B8)</f>
        <v>10538911454.938713</v>
      </c>
      <c r="H9" s="18">
        <f>H8*(1-Assumptions!B8)</f>
        <v>10981677512.724806</v>
      </c>
      <c r="I9" s="18">
        <f>I8*(1-Assumptions!B8)</f>
        <v>11380770004.318396</v>
      </c>
      <c r="J9" s="18">
        <f>J8*(1-Assumptions!B8)</f>
        <v>11729827718.827019</v>
      </c>
      <c r="K9" s="18">
        <f>K8*(1-Assumptions!B8)</f>
        <v>12023073411.797695</v>
      </c>
    </row>
    <row r="10" spans="1:11" x14ac:dyDescent="0.25">
      <c r="A10" t="s">
        <v>53</v>
      </c>
      <c r="B10" s="18">
        <f>B6*Assumptions!B9</f>
        <v>1767660216.5282798</v>
      </c>
      <c r="C10" s="18">
        <f>C6*Assumptions!B9</f>
        <v>1892044591.7832224</v>
      </c>
      <c r="D10" s="18">
        <f>D6*Assumptions!B9</f>
        <v>2014452010.2281313</v>
      </c>
      <c r="E10" s="18">
        <f>E6*Assumptions!B9</f>
        <v>2133355055.5325205</v>
      </c>
      <c r="F10" s="18">
        <f>F6*Assumptions!B9</f>
        <v>2247178450.315994</v>
      </c>
      <c r="G10" s="18">
        <f>G6*Assumptions!B9</f>
        <v>2354331420.875154</v>
      </c>
      <c r="H10" s="18">
        <f>H6*Assumptions!B9</f>
        <v>2453242778.694213</v>
      </c>
      <c r="I10" s="18">
        <f>I6*Assumptions!B9</f>
        <v>2542397716.2616816</v>
      </c>
      <c r="J10" s="18">
        <f>J6*Assumptions!B9</f>
        <v>2620375176.123669</v>
      </c>
      <c r="K10" s="18">
        <f>K6*Assumptions!B9</f>
        <v>2685884555.5267606</v>
      </c>
    </row>
    <row r="11" spans="1:11" x14ac:dyDescent="0.25">
      <c r="A11" t="s">
        <v>54</v>
      </c>
      <c r="B11" s="18">
        <f>-B6*B19</f>
        <v>-1954086113.846373</v>
      </c>
      <c r="C11" s="18">
        <f>-C6*C19</f>
        <v>-2087955299.0443988</v>
      </c>
      <c r="D11" s="18">
        <f>-D6*D19</f>
        <v>-2219168901.4243217</v>
      </c>
      <c r="E11" s="18">
        <f>-E6*E19</f>
        <v>-2346058604.7465367</v>
      </c>
      <c r="F11" s="18">
        <f>-F6*F19</f>
        <v>-2466915284.312474</v>
      </c>
      <c r="G11" s="18">
        <f>-G6*G19</f>
        <v>-2580024933.821055</v>
      </c>
      <c r="H11" s="18">
        <f>-H6*H19</f>
        <v>-2683707191.324169</v>
      </c>
      <c r="I11" s="18">
        <f>-I6*I19</f>
        <v>-2776355333.0331597</v>
      </c>
      <c r="J11" s="18">
        <f>-J6*J19</f>
        <v>-2856476468.0497913</v>
      </c>
      <c r="K11" s="18">
        <f>-K6*K19</f>
        <v>-2922730579.5311513</v>
      </c>
    </row>
    <row r="12" spans="1:11" x14ac:dyDescent="0.25">
      <c r="A12" t="s">
        <v>55</v>
      </c>
      <c r="B12" s="18">
        <f>-(B6-Assumptions!B29)*Assumptions!B11</f>
        <v>-321614218.31712973</v>
      </c>
      <c r="C12" s="18">
        <f>-(C6-B6)*Assumptions!B11</f>
        <v>-290063582.73984814</v>
      </c>
      <c r="D12" s="18">
        <f>-(D6-C6)*Assumptions!B11</f>
        <v>-285453331.8617532</v>
      </c>
      <c r="E12" s="18">
        <f>-(E6-D6)*Assumptions!B11</f>
        <v>-277281155.6835718</v>
      </c>
      <c r="F12" s="18">
        <f>-(F6-E6)*Assumptions!B11</f>
        <v>-265435442.5371798</v>
      </c>
      <c r="G12" s="18">
        <f>-(G6-F6)*Assumptions!B11</f>
        <v>-249880055.0945595</v>
      </c>
      <c r="H12" s="18">
        <f>-(H6-G6)*Assumptions!B11</f>
        <v>-230660665.89034164</v>
      </c>
      <c r="I12" s="18">
        <f>-(I6-H6)*Assumptions!B11</f>
        <v>-207908755.07283533</v>
      </c>
      <c r="J12" s="18">
        <f>-(J6-I6)*Assumptions!B11</f>
        <v>-181842947.18819106</v>
      </c>
      <c r="K12" s="18">
        <f>-(K6-J6)*Assumptions!B11</f>
        <v>-152767461.77948645</v>
      </c>
    </row>
    <row r="13" spans="1:11" x14ac:dyDescent="0.25">
      <c r="A13" s="19" t="s">
        <v>56</v>
      </c>
      <c r="B13" s="20">
        <f>B9+B10+B11+B12</f>
        <v>7404700775.145764</v>
      </c>
      <c r="C13" s="20">
        <f>C9+C10+C11+C12</f>
        <v>7983559882.119439</v>
      </c>
      <c r="D13" s="20">
        <f>D9+D10+D11+D12</f>
        <v>8527307595.815105</v>
      </c>
      <c r="E13" s="20">
        <f>E9+E10+E11+E12</f>
        <v>9059749811.173904</v>
      </c>
      <c r="F13" s="20">
        <f>F9+F10+F11+F12</f>
        <v>9574080427.371239</v>
      </c>
      <c r="G13" s="20">
        <f>G9+G10+G11+G12</f>
        <v>10063337886.898254</v>
      </c>
      <c r="H13" s="20">
        <f>H9+H10+H11+H12</f>
        <v>10520552434.204508</v>
      </c>
      <c r="I13" s="20">
        <f>I9+I10+I11+I12</f>
        <v>10938903632.474083</v>
      </c>
      <c r="J13" s="20">
        <f>J9+J10+J11+J12</f>
        <v>11311883479.712706</v>
      </c>
      <c r="K13" s="20">
        <f>K9+K10+K11+K12</f>
        <v>11633459926.013819</v>
      </c>
    </row>
    <row r="14" spans="1:11" x14ac:dyDescent="0.25">
      <c r="A14" t="s">
        <v>57</v>
      </c>
      <c r="B14" s="21">
        <f>1/(1+Assumptions!$B$26)^(1-0.5*Assumptions!$B$32)</f>
        <v>0.9698449576340393</v>
      </c>
      <c r="C14" s="21">
        <f>1/(1+Assumptions!$B$26)^(2-0.5*Assumptions!$B$32)</f>
        <v>0.9122354318608494</v>
      </c>
      <c r="D14" s="21">
        <f>1/(1+Assumptions!$B$26)^(3-0.5*Assumptions!$B$32)</f>
        <v>0.8580479555953544</v>
      </c>
      <c r="E14" s="21">
        <f>1/(1+Assumptions!$B$26)^(4-0.5*Assumptions!$B$32)</f>
        <v>0.807079256502364</v>
      </c>
      <c r="F14" s="21">
        <f>1/(1+Assumptions!$B$26)^(5-0.5*Assumptions!$B$32)</f>
        <v>0.7591381367775096</v>
      </c>
      <c r="G14" s="21">
        <f>1/(1+Assumptions!$B$26)^(6-0.5*Assumptions!$B$32)</f>
        <v>0.7140447559109591</v>
      </c>
      <c r="H14" s="21">
        <f>1/(1+Assumptions!$B$26)^(7-0.5*Assumptions!$B$32)</f>
        <v>0.6716299560555109</v>
      </c>
      <c r="I14" s="21">
        <f>1/(1+Assumptions!$B$26)^(8-0.5*Assumptions!$B$32)</f>
        <v>0.6317346274683344</v>
      </c>
      <c r="J14" s="21">
        <f>1/(1+Assumptions!$B$26)^(9-0.5*Assumptions!$B$32)</f>
        <v>0.5942091116459525</v>
      </c>
      <c r="K14" s="21">
        <f>1/(1+Assumptions!$B$26)^(10-0.5*Assumptions!$B$32)</f>
        <v>0.5589126399134584</v>
      </c>
    </row>
    <row r="15" spans="1:11" x14ac:dyDescent="0.25">
      <c r="A15" s="19" t="s">
        <v>58</v>
      </c>
      <c r="B15" s="20">
        <f>B13*B14</f>
        <v>7181411709.563982</v>
      </c>
      <c r="C15" s="20">
        <f>C13*C14</f>
        <v>7282886196.852179</v>
      </c>
      <c r="D15" s="20">
        <f>D13*D14</f>
        <v>7316838849.321888</v>
      </c>
      <c r="E15" s="20">
        <f>E13*E14</f>
        <v>7311936141.699668</v>
      </c>
      <c r="F15" s="20">
        <f>F13*F14</f>
        <v>7268049576.992625</v>
      </c>
      <c r="G15" s="20">
        <f>G13*G14</f>
        <v>7185673645.099771</v>
      </c>
      <c r="H15" s="20">
        <f>H13*H14</f>
        <v>7065918169.064472</v>
      </c>
      <c r="I15" s="20">
        <f>I13*I14</f>
        <v>6910484211.173025</v>
      </c>
      <c r="J15" s="20">
        <f>J13*J14</f>
        <v>6721624233.522613</v>
      </c>
      <c r="K15" s="20">
        <f>K13*K14</f>
        <v>6502087798.57581</v>
      </c>
    </row>
    <row r="17" spans="1:2" x14ac:dyDescent="0.25">
      <c r="A17" s="22" t="s">
        <v>59</v>
      </c>
      <c r="B17" s="23">
        <f>SUM(B15:K15)</f>
        <v>70746910531.86604</v>
      </c>
    </row>
    <row r="19" spans="1:11" x14ac:dyDescent="0.25">
      <c r="A19" t="s">
        <v>7</v>
      </c>
      <c r="B19" s="9">
        <f>Assumptions!$B$10+($B$20-Assumptions!$B$10)*0/9</f>
        <v>0.02400633217176213</v>
      </c>
      <c r="C19" s="9">
        <f>Assumptions!$B$10+($B$20-Assumptions!$B$10)*1/9</f>
        <v>0.023964630057431928</v>
      </c>
      <c r="D19" s="9">
        <f>Assumptions!$B$10+($B$20-Assumptions!$B$10)*2/9</f>
        <v>0.023922927943101725</v>
      </c>
      <c r="E19" s="9">
        <f>Assumptions!$B$10+($B$20-Assumptions!$B$10)*3/9</f>
        <v>0.023881225828771526</v>
      </c>
      <c r="F19" s="9">
        <f>Assumptions!$B$10+($B$20-Assumptions!$B$10)*4/9</f>
        <v>0.023839523714441323</v>
      </c>
      <c r="G19" s="9">
        <f>Assumptions!$B$10+($B$20-Assumptions!$B$10)*5/9</f>
        <v>0.02379782160011112</v>
      </c>
      <c r="H19" s="9">
        <f>Assumptions!$B$10+($B$20-Assumptions!$B$10)*6/9</f>
        <v>0.023756119485780918</v>
      </c>
      <c r="I19" s="9">
        <f>Assumptions!$B$10+($B$20-Assumptions!$B$10)*7/9</f>
        <v>0.02371441737145072</v>
      </c>
      <c r="J19" s="9">
        <f>Assumptions!$B$10+($B$20-Assumptions!$B$10)*8/9</f>
        <v>0.023672715257120516</v>
      </c>
      <c r="K19" s="9">
        <f>Assumptions!$B$10+($B$20-Assumptions!$B$10)*9/9</f>
        <v>0.023631013142790314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0.023631013142790314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11633459926.013819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12878589461.404188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0.09597646469295688</v>
      </c>
    </row>
    <row r="7" spans="1:2" x14ac:dyDescent="0.25">
      <c r="A7" t="s">
        <v>66</v>
      </c>
      <c r="B7" s="18">
        <f>-MAX(B5,0)*B6</f>
        <v>-1236041486.7375457</v>
      </c>
    </row>
    <row r="8" spans="1:2" x14ac:dyDescent="0.25">
      <c r="A8" t="s">
        <v>67</v>
      </c>
      <c r="B8" s="18">
        <f>IF(OR(Assumptions!$B$33=0,Assumptions!B12&lt;=0),B5,MAX(B5+B7,0))</f>
        <v>11642547974.666643</v>
      </c>
    </row>
    <row r="9" spans="1:2" x14ac:dyDescent="0.25">
      <c r="A9" t="s">
        <v>68</v>
      </c>
      <c r="B9" s="18">
        <f>B8*(1+Assumptions!B12)/(Assumptions!B26-Assumptions!B12)</f>
        <v>312790943890.33215</v>
      </c>
    </row>
    <row r="10" spans="1:2" x14ac:dyDescent="0.25">
      <c r="A10" t="s">
        <v>69</v>
      </c>
      <c r="B10" s="18">
        <f>B9/(1+Assumptions!B26)^(10-0.5*Assumptions!B32)</f>
        <v>174822812190.76797</v>
      </c>
    </row>
    <row r="11" spans="1:2" x14ac:dyDescent="0.25">
      <c r="A11" t="s">
        <v>70</v>
      </c>
      <c r="B11" s="18">
        <f>Forecast!B17+B10</f>
        <v>245569722722.63403</v>
      </c>
    </row>
    <row r="12" spans="1:2" x14ac:dyDescent="0.25">
      <c r="A12" t="s">
        <v>71</v>
      </c>
      <c r="B12" s="18">
        <f>-Assumptions!B30</f>
        <v>-17579000000</v>
      </c>
    </row>
    <row r="13" spans="1:2" x14ac:dyDescent="0.25">
      <c r="A13" t="s">
        <v>72</v>
      </c>
      <c r="B13" s="18">
        <f>B11+B12</f>
        <v>227990722722.63403</v>
      </c>
    </row>
    <row r="14" spans="1:2" x14ac:dyDescent="0.25">
      <c r="A14" s="19" t="s">
        <v>73</v>
      </c>
      <c r="B14" s="24">
        <f>B13/Assumptions!B31</f>
        <v>976.405664765028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16728169801.60906</v>
      </c>
    </row>
    <row r="18" spans="1:2" x14ac:dyDescent="0.25">
      <c r="A18" t="s">
        <v>68</v>
      </c>
      <c r="B18" s="18">
        <f>B17*Assumptions!B13</f>
        <v>292569637536.39014</v>
      </c>
    </row>
    <row r="19" spans="1:2" x14ac:dyDescent="0.25">
      <c r="A19" t="s">
        <v>69</v>
      </c>
      <c r="B19" s="18">
        <f>B18/(1+Assumptions!B26)^(10-0.5*Assumptions!B32)</f>
        <v>163520868473.98746</v>
      </c>
    </row>
    <row r="20" spans="1:2" x14ac:dyDescent="0.25">
      <c r="A20" t="s">
        <v>70</v>
      </c>
      <c r="B20" s="18">
        <f>Forecast!B17+B19</f>
        <v>234267779005.85352</v>
      </c>
    </row>
    <row r="21" spans="1:2" x14ac:dyDescent="0.25">
      <c r="A21" t="s">
        <v>71</v>
      </c>
      <c r="B21" s="18">
        <f>-Assumptions!B30</f>
        <v>-17579000000</v>
      </c>
    </row>
    <row r="22" spans="1:2" x14ac:dyDescent="0.25">
      <c r="A22" t="s">
        <v>72</v>
      </c>
      <c r="B22" s="18">
        <f>B20+B21</f>
        <v>216688779005.85352</v>
      </c>
    </row>
    <row r="23" spans="1:2" x14ac:dyDescent="0.25">
      <c r="A23" s="19" t="s">
        <v>73</v>
      </c>
      <c r="B23" s="25">
        <f>B22/Assumptions!B31</f>
        <v>928.0033362135055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636.95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976.405664765028</v>
      </c>
    </row>
    <row r="29" spans="1:2" x14ac:dyDescent="0.25">
      <c r="A29" s="19" t="s">
        <v>81</v>
      </c>
      <c r="B29" s="11">
        <f>B28/B26-1</f>
        <v>0.5329392648795477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0.043152</v>
      </c>
      <c r="B5" s="31">
        <v>1519.5511761580278</v>
      </c>
      <c r="C5" s="31">
        <v>1763.153305233264</v>
      </c>
      <c r="D5" s="31">
        <v>2142.560535789435</v>
      </c>
      <c r="E5" s="31">
        <v>2812.660072982718</v>
      </c>
      <c r="F5" s="31">
        <v>4308.337171910839</v>
      </c>
    </row>
    <row r="6" spans="1:6" x14ac:dyDescent="0.25">
      <c r="A6" s="30">
        <v>0.053152</v>
      </c>
      <c r="B6" s="31">
        <v>1094.473882998619</v>
      </c>
      <c r="C6" s="31">
        <v>1203.475122796756</v>
      </c>
      <c r="D6" s="31">
        <v>1352.1703692613773</v>
      </c>
      <c r="E6" s="31">
        <v>1566.277059330858</v>
      </c>
      <c r="F6" s="31">
        <v>1899.8482810435903</v>
      </c>
    </row>
    <row r="7" spans="1:6" x14ac:dyDescent="0.25">
      <c r="A7" s="30">
        <v>0.063152</v>
      </c>
      <c r="B7" s="31">
        <v>846.4428258451047</v>
      </c>
      <c r="C7" s="31">
        <v>903.5950984621768</v>
      </c>
      <c r="D7" s="32">
        <v>976.4066910017724</v>
      </c>
      <c r="E7" s="31">
        <v>1071.9628411218864</v>
      </c>
      <c r="F7" s="31">
        <v>1202.3823454873311</v>
      </c>
    </row>
    <row r="8" spans="1:6" x14ac:dyDescent="0.25">
      <c r="A8" s="30">
        <v>0.073152</v>
      </c>
      <c r="B8" s="31">
        <v>684.0915109858557</v>
      </c>
      <c r="C8" s="31">
        <v>716.8544330089142</v>
      </c>
      <c r="D8" s="31">
        <v>756.9297719258753</v>
      </c>
      <c r="E8" s="31">
        <v>806.8593856670452</v>
      </c>
      <c r="F8" s="31">
        <v>870.5176221660349</v>
      </c>
    </row>
    <row r="9" spans="1:6" x14ac:dyDescent="0.25">
      <c r="A9" s="30">
        <v>0.083152</v>
      </c>
      <c r="B9" s="31">
        <v>569.6807784657573</v>
      </c>
      <c r="C9" s="31">
        <v>589.4885853439712</v>
      </c>
      <c r="D9" s="31">
        <v>613.1006018612962</v>
      </c>
      <c r="E9" s="31">
        <v>641.5904121648325</v>
      </c>
      <c r="F9" s="31">
        <v>676.4775150665337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75048000000</v>
      </c>
      <c r="C5" s="18">
        <v>71043000000</v>
      </c>
      <c r="D5" s="18">
        <v>67571000000</v>
      </c>
      <c r="E5" s="18">
        <v>65984000000</v>
      </c>
      <c r="F5" s="6" t="s">
        <v>91</v>
      </c>
    </row>
    <row r="6" spans="1:6" x14ac:dyDescent="0.25">
      <c r="A6" t="s">
        <v>51</v>
      </c>
      <c r="B6" s="18">
        <v>7731000000</v>
      </c>
      <c r="C6" s="18">
        <v>7013000000</v>
      </c>
      <c r="D6" s="18">
        <v>8507000000</v>
      </c>
      <c r="E6" s="18">
        <v>8348000000</v>
      </c>
      <c r="F6" s="6" t="s">
        <v>92</v>
      </c>
    </row>
    <row r="7" spans="1:6" x14ac:dyDescent="0.25">
      <c r="A7" t="s">
        <v>93</v>
      </c>
      <c r="B7" s="18">
        <v>1687000000</v>
      </c>
      <c r="C7" s="18">
        <v>1559000000</v>
      </c>
      <c r="D7" s="18">
        <v>1430000000</v>
      </c>
      <c r="E7" s="18">
        <v>1404000000</v>
      </c>
      <c r="F7" s="6" t="s">
        <v>94</v>
      </c>
    </row>
    <row r="8" spans="1:6" x14ac:dyDescent="0.25">
      <c r="A8" t="s">
        <v>95</v>
      </c>
      <c r="B8" s="18">
        <v>1649000000</v>
      </c>
      <c r="C8" s="18">
        <v>1685000000</v>
      </c>
      <c r="D8" s="18">
        <v>1691000000</v>
      </c>
      <c r="E8" s="18">
        <v>1670000000</v>
      </c>
      <c r="F8" s="6" t="s">
        <v>96</v>
      </c>
    </row>
    <row r="9" spans="1:6" x14ac:dyDescent="0.25">
      <c r="A9" t="s">
        <v>97</v>
      </c>
      <c r="B9" s="18">
        <v>-186000000</v>
      </c>
      <c r="C9" s="18">
        <v>163000000</v>
      </c>
      <c r="D9" s="18">
        <v>-184000000</v>
      </c>
      <c r="E9" s="18">
        <v>585000000</v>
      </c>
      <c r="F9" s="6" t="s">
        <v>98</v>
      </c>
    </row>
    <row r="10" spans="1:6" x14ac:dyDescent="0.25">
      <c r="A10" t="s">
        <v>99</v>
      </c>
      <c r="B10" s="18">
        <v>21700000000</v>
      </c>
      <c r="C10" s="18">
        <v>20270000000</v>
      </c>
      <c r="D10" s="18">
        <v>17459000000</v>
      </c>
      <c r="E10" s="18">
        <v>15547000000</v>
      </c>
      <c r="F10" s="6" t="s">
        <v>100</v>
      </c>
    </row>
    <row r="11" spans="1:6" x14ac:dyDescent="0.25">
      <c r="A11" t="s">
        <v>101</v>
      </c>
      <c r="B11" s="18">
        <v>4121000000</v>
      </c>
      <c r="C11" s="18">
        <v>2483000000</v>
      </c>
      <c r="D11" s="18">
        <v>1442000000</v>
      </c>
      <c r="E11" s="18">
        <v>2547000000</v>
      </c>
      <c r="F11" s="6" t="s">
        <v>102</v>
      </c>
    </row>
    <row r="12" spans="1:6" x14ac:dyDescent="0.25">
      <c r="A12" t="s">
        <v>34</v>
      </c>
      <c r="B12" s="34">
        <v>233500000</v>
      </c>
      <c r="C12" s="34">
        <v>239200000</v>
      </c>
      <c r="D12" s="34">
        <v>251200000</v>
      </c>
      <c r="E12" s="34">
        <v>264600000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