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<sst xmlns="http://schemas.openxmlformats.org/spreadsheetml/2006/main" count="111" uniqueCount="99">
  <si>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Alliant Energy Corporation (LNT)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</si>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</sst>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0.012293745856755134</v>
      </c>
    </row>
    <row r="7" spans="1:2" x14ac:dyDescent="0.25">
      <c r="A7" t="s">
        <v>5</v>
      </c>
      <c r="B7" s="6">
        <v>0.2281000276937008</v>
      </c>
    </row>
    <row r="8" spans="1:2" x14ac:dyDescent="0.25">
      <c r="A8" t="s">
        <v>6</v>
      </c>
      <c r="B8" s="6">
        <v>0.018365577477844636</v>
      </c>
    </row>
    <row r="9" spans="1:2" x14ac:dyDescent="0.25">
      <c r="A9" t="s">
        <v>7</v>
      </c>
      <c r="B9" s="6">
        <v>0.1788269230871742</v>
      </c>
    </row>
    <row r="10" spans="1:2" x14ac:dyDescent="0.25">
      <c r="A10" t="s">
        <v>8</v>
      </c>
      <c r="B10" s="6">
        <v>0.14318327614912704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15.270108835916622</v>
      </c>
    </row>
    <row r="14" spans="1:3" x14ac:dyDescent="0.25">
      <c r="A14" t="s">
        <v>12</v>
      </c>
      <c r="B14" s="6">
        <v>0.07164736029900252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0.6864399999999999</v>
      </c>
      <c r="C19" s="8" t="s">
        <v>19</v>
      </c>
    </row>
    <row r="20" spans="1:2" x14ac:dyDescent="0.25">
      <c r="A20" t="s">
        <v>20</v>
      </c>
      <c r="B20" s="10">
        <f>B17+B19*B18</f>
        <v>0.0877342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17010373632</v>
      </c>
    </row>
    <row r="23" spans="1:2" x14ac:dyDescent="0.25">
      <c r="A23" t="s">
        <v>24</v>
      </c>
      <c r="B23" s="11">
        <v>12116000000</v>
      </c>
    </row>
    <row r="24" spans="1:2" x14ac:dyDescent="0.25">
      <c r="A24" t="s">
        <v>25</v>
      </c>
      <c r="B24" s="10">
        <f>B22/(B22+B23)</f>
        <v>0.5840196190201781</v>
      </c>
    </row>
    <row r="25" spans="1:2" x14ac:dyDescent="0.25">
      <c r="A25" t="s">
        <v>26</v>
      </c>
      <c r="B25" s="10">
        <f>1-B24</f>
        <v>0.41598038097982193</v>
      </c>
    </row>
    <row r="26" spans="1:2" x14ac:dyDescent="0.25">
      <c r="A26" t="s">
        <v>27</v>
      </c>
      <c r="B26" s="12">
        <f>B24*B20+B25*B21*(1-B8)</f>
        <v>0.07164736029900252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4362000000</v>
      </c>
      <c r="C29" s="8" t="s">
        <v>30</v>
      </c>
    </row>
    <row r="30" spans="1:2" x14ac:dyDescent="0.25">
      <c r="A30" t="s">
        <v>31</v>
      </c>
      <c r="B30" s="11">
        <v>11560000000</v>
      </c>
    </row>
    <row r="31" spans="1:2" x14ac:dyDescent="0.25">
      <c r="A31" t="s">
        <v>32</v>
      </c>
      <c r="B31" s="13">
        <v>257800000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0.012293745856755134</v>
      </c>
      <c r="C5" s="10">
        <f>Assumptions!B6</f>
        <v>0.012293745856755134</v>
      </c>
      <c r="D5" s="10">
        <f>Assumptions!B6</f>
        <v>0.012293745856755134</v>
      </c>
      <c r="E5" s="10">
        <f>Assumptions!B6</f>
        <v>0.012293745856755134</v>
      </c>
      <c r="F5" s="10">
        <f>Assumptions!B6</f>
        <v>0.012293745856755134</v>
      </c>
    </row>
    <row r="6" spans="1:6" x14ac:dyDescent="0.25">
      <c r="A6" t="s">
        <v>43</v>
      </c>
      <c r="B6" s="18">
        <f>Assumptions!B29*(1+B5)</f>
        <v>4415625319.427166</v>
      </c>
      <c r="C6" s="18">
        <f>B6*(1+C5)</f>
        <v>4469909894.902857</v>
      </c>
      <c r="D6" s="18">
        <f>C6*(1+D5)</f>
        <v>4524861831.153388</v>
      </c>
      <c r="E6" s="18">
        <f>D6*(1+E5)</f>
        <v>4580489332.54252</v>
      </c>
      <c r="F6" s="18">
        <f>E6*(1+F5)</f>
        <v>4636800704.296375</v>
      </c>
    </row>
    <row r="7" spans="1:6" x14ac:dyDescent="0.25">
      <c r="A7" t="s">
        <v>5</v>
      </c>
      <c r="B7" s="10">
        <f>Assumptions!B7</f>
        <v>0.2281000276937008</v>
      </c>
      <c r="C7" s="10">
        <f>Assumptions!B7</f>
        <v>0.2281000276937008</v>
      </c>
      <c r="D7" s="10">
        <f>Assumptions!B7</f>
        <v>0.2281000276937008</v>
      </c>
      <c r="E7" s="10">
        <f>Assumptions!B7</f>
        <v>0.2281000276937008</v>
      </c>
      <c r="F7" s="10">
        <f>Assumptions!B7</f>
        <v>0.2281000276937008</v>
      </c>
    </row>
    <row r="8" spans="1:6" x14ac:dyDescent="0.25">
      <c r="A8" t="s">
        <v>44</v>
      </c>
      <c r="B8" s="18">
        <f>B6*B7</f>
        <v>1007204257.646343</v>
      </c>
      <c r="C8" s="18">
        <f>C6*C7</f>
        <v>1019586570.8156888</v>
      </c>
      <c r="D8" s="18">
        <f>D6*D7</f>
        <v>1032121108.9962575</v>
      </c>
      <c r="E8" s="18">
        <f>E6*E7</f>
        <v>1044809743.6036499</v>
      </c>
      <c r="F8" s="18">
        <f>F6*F7</f>
        <v>1057654369.0601746</v>
      </c>
    </row>
    <row r="9" spans="1:6" x14ac:dyDescent="0.25">
      <c r="A9" t="s">
        <v>45</v>
      </c>
      <c r="B9" s="18">
        <f>B8*(1-Assumptions!B8)</f>
        <v>988706369.8165241</v>
      </c>
      <c r="C9" s="18">
        <f>C8*(1-Assumptions!B8)</f>
        <v>1000861274.6540034</v>
      </c>
      <c r="D9" s="18">
        <f>D8*(1-Assumptions!B8)</f>
        <v>1013165608.8024678</v>
      </c>
      <c r="E9" s="18">
        <f>E8*(1-Assumptions!B8)</f>
        <v>1025621209.30789</v>
      </c>
      <c r="F9" s="18">
        <f>F8*(1-Assumptions!B8)</f>
        <v>1038229935.8004191</v>
      </c>
    </row>
    <row r="10" spans="1:6" x14ac:dyDescent="0.25">
      <c r="A10" t="s">
        <v>46</v>
      </c>
      <c r="B10" s="18">
        <f>B6*Assumptions!B9</f>
        <v>789632689.3789809</v>
      </c>
      <c r="C10" s="18">
        <f>C6*Assumptions!B9</f>
        <v>799340232.9823922</v>
      </c>
      <c r="D10" s="18">
        <f>D6*Assumptions!B9</f>
        <v>809167118.6597571</v>
      </c>
      <c r="E10" s="18">
        <f>E6*Assumptions!B9</f>
        <v>819114813.572203</v>
      </c>
      <c r="F10" s="18">
        <f>F6*Assumptions!B9</f>
        <v>829184802.9177631</v>
      </c>
    </row>
    <row r="11" spans="1:6" x14ac:dyDescent="0.25">
      <c r="A11" t="s">
        <v>47</v>
      </c>
      <c r="B11" s="18">
        <f>-B6*Assumptions!B10</f>
        <v>-632243699.4826173</v>
      </c>
      <c r="C11" s="18">
        <f>-C6*Assumptions!B10</f>
        <v>-640016342.8435912</v>
      </c>
      <c r="D11" s="18">
        <f>-D6*Assumptions!B10</f>
        <v>-647884541.1066803</v>
      </c>
      <c r="E11" s="18">
        <f>-E6*Assumptions!B10</f>
        <v>-655849468.9995662</v>
      </c>
      <c r="F11" s="18">
        <f>-F6*Assumptions!B10</f>
        <v>-663912315.6917347</v>
      </c>
    </row>
    <row r="12" spans="1:6" x14ac:dyDescent="0.25">
      <c r="A12" t="s">
        <v>48</v>
      </c>
      <c r="B12" s="18">
        <f>-(B6-Assumptions!B29)*Assumptions!B11</f>
        <v>53625319.427165985</v>
      </c>
      <c r="C12" s="18">
        <f>-(C6-B6)*Assumptions!B11</f>
        <v>54284575.47569084</v>
      </c>
      <c r="D12" s="18">
        <f>-(D6-C6)*Assumptions!B11</f>
        <v>54951936.2505312</v>
      </c>
      <c r="E12" s="18">
        <f>-(E6-D6)*Assumptions!B11</f>
        <v>55627501.389131546</v>
      </c>
      <c r="F12" s="18">
        <f>-(F6-E6)*Assumptions!B11</f>
        <v>56311371.753855705</v>
      </c>
    </row>
    <row r="13" spans="1:6" x14ac:dyDescent="0.25">
      <c r="A13" s="19" t="s">
        <v>49</v>
      </c>
      <c r="B13" s="20">
        <f>B9+B10+B11+B12</f>
        <v>1199720679.1400537</v>
      </c>
      <c r="C13" s="20">
        <f>C9+C10+C11+C12</f>
        <v>1214469740.268495</v>
      </c>
      <c r="D13" s="20">
        <f>D9+D10+D11+D12</f>
        <v>1229400122.6060758</v>
      </c>
      <c r="E13" s="20">
        <f>E9+E10+E11+E12</f>
        <v>1244514055.2696586</v>
      </c>
      <c r="F13" s="20">
        <f>F9+F10+F11+F12</f>
        <v>1259813794.780303</v>
      </c>
    </row>
    <row r="14" spans="1:6" x14ac:dyDescent="0.25">
      <c r="A14" t="s">
        <v>50</v>
      </c>
      <c r="B14" s="21">
        <f>1/(1+Assumptions!$B$26)^(1-0.5*Assumptions!$B$32)</f>
        <v>0.9659931587895888</v>
      </c>
      <c r="C14" s="21">
        <f>1/(1+Assumptions!$B$26)^(2-0.5*Assumptions!$B$32)</f>
        <v>0.9014095443860051</v>
      </c>
      <c r="D14" s="21">
        <f>1/(1+Assumptions!$B$26)^(3-0.5*Assumptions!$B$32)</f>
        <v>0.8411438107163359</v>
      </c>
      <c r="E14" s="21">
        <f>1/(1+Assumptions!$B$26)^(4-0.5*Assumptions!$B$32)</f>
        <v>0.7849072762906323</v>
      </c>
      <c r="F14" s="21">
        <f>1/(1+Assumptions!$B$26)^(5-0.5*Assumptions!$B$32)</f>
        <v>0.7324305600600125</v>
      </c>
    </row>
    <row r="15" spans="1:6" x14ac:dyDescent="0.25">
      <c r="A15" s="19" t="s">
        <v>51</v>
      </c>
      <c r="B15" s="20">
        <f>B13*B14</f>
        <v>1158921968.5076911</v>
      </c>
      <c r="C15" s="20">
        <f>C13*C14</f>
        <v>1094734615.246014</v>
      </c>
      <c r="D15" s="20">
        <f>D13*D14</f>
        <v>1034102304.0240052</v>
      </c>
      <c r="E15" s="20">
        <f>E13*E14</f>
        <v>976828137.4271171</v>
      </c>
      <c r="F15" s="20">
        <f>F13*F14</f>
        <v>922726123.282267</v>
      </c>
    </row>
    <row r="17" spans="1:2" x14ac:dyDescent="0.25">
      <c r="A17" s="22" t="s">
        <v>52</v>
      </c>
      <c r="B17" s="23">
        <f>SUM(B15:F15)</f>
        <v>5187313148.487094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1259813794.780303</v>
      </c>
    </row>
    <row r="5" spans="1:2" x14ac:dyDescent="0.25">
      <c r="A5" t="s">
        <v>56</v>
      </c>
      <c r="B5" s="18">
        <f>IF(Assumptions!$B$33=0,B4,B4-Forecast!F11-Forecast!F10-Forecast!F12)</f>
        <v>1038229935.8004191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0.3489312082911176</v>
      </c>
    </row>
    <row r="7" spans="1:2" x14ac:dyDescent="0.25">
      <c r="A7" t="s">
        <v>58</v>
      </c>
      <c r="B7" s="18">
        <f>-MAX(Forecast!F9,0)*B6</f>
        <v>-362270825.9828497</v>
      </c>
    </row>
    <row r="8" spans="1:2" x14ac:dyDescent="0.25">
      <c r="A8" t="s">
        <v>59</v>
      </c>
      <c r="B8" s="18">
        <f>IF(OR(Assumptions!$B$33=0,Assumptions!B12&lt;=0),B5,MAX(B5+B7,0))</f>
        <v>675959109.8175694</v>
      </c>
    </row>
    <row r="9" spans="1:2" x14ac:dyDescent="0.25">
      <c r="A9" t="s">
        <v>60</v>
      </c>
      <c r="B9" s="18">
        <f>B8*(1+Assumptions!B12)/(Assumptions!B26-Assumptions!B12)</f>
        <v>14853103865.296837</v>
      </c>
    </row>
    <row r="10" spans="1:2" x14ac:dyDescent="0.25">
      <c r="A10" t="s">
        <v>61</v>
      </c>
      <c r="B10" s="18">
        <f>B9/(1+Assumptions!B26)^(5-0.5*Assumptions!B32)</f>
        <v>10878867182.688898</v>
      </c>
    </row>
    <row r="11" spans="1:2" x14ac:dyDescent="0.25">
      <c r="A11" t="s">
        <v>62</v>
      </c>
      <c r="B11" s="18">
        <f>Forecast!B17+B10</f>
        <v>16066180331.175991</v>
      </c>
    </row>
    <row r="12" spans="1:2" x14ac:dyDescent="0.25">
      <c r="A12" t="s">
        <v>63</v>
      </c>
      <c r="B12" s="18">
        <f>-Assumptions!B30</f>
        <v>-11560000000</v>
      </c>
    </row>
    <row r="13" spans="1:2" x14ac:dyDescent="0.25">
      <c r="A13" t="s">
        <v>64</v>
      </c>
      <c r="B13" s="18">
        <f>B11+B12</f>
        <v>4506180331.175991</v>
      </c>
    </row>
    <row r="14" spans="1:2" x14ac:dyDescent="0.25">
      <c r="A14" s="19" t="s">
        <v>65</v>
      </c>
      <c r="B14" s="24">
        <f>B13/Assumptions!B31</f>
        <v>17.479365132567846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1886839171.9779377</v>
      </c>
    </row>
    <row r="18" spans="1:2" x14ac:dyDescent="0.25">
      <c r="A18" t="s">
        <v>60</v>
      </c>
      <c r="B18" s="18">
        <f>B17*Assumptions!B13</f>
        <v>28812239511.973907</v>
      </c>
    </row>
    <row r="19" spans="1:2" x14ac:dyDescent="0.25">
      <c r="A19" t="s">
        <v>61</v>
      </c>
      <c r="B19" s="18">
        <f>B18/(1+Assumptions!B26)^(5-0.5*Assumptions!B32)</f>
        <v>21102964722.338272</v>
      </c>
    </row>
    <row r="20" spans="1:2" x14ac:dyDescent="0.25">
      <c r="A20" t="s">
        <v>62</v>
      </c>
      <c r="B20" s="18">
        <f>Forecast!B17+B19</f>
        <v>26290277870.825367</v>
      </c>
    </row>
    <row r="21" spans="1:2" x14ac:dyDescent="0.25">
      <c r="A21" t="s">
        <v>63</v>
      </c>
      <c r="B21" s="18">
        <f>-Assumptions!B30</f>
        <v>-11560000000</v>
      </c>
    </row>
    <row r="22" spans="1:2" x14ac:dyDescent="0.25">
      <c r="A22" t="s">
        <v>64</v>
      </c>
      <c r="B22" s="18">
        <f>B20+B21</f>
        <v>14730277870.825367</v>
      </c>
    </row>
    <row r="23" spans="1:2" x14ac:dyDescent="0.25">
      <c r="A23" s="19" t="s">
        <v>65</v>
      </c>
      <c r="B23" s="25">
        <f>B22/Assumptions!B31</f>
        <v>57.13839360289126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65.605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17.479365132567846</v>
      </c>
    </row>
    <row r="29" spans="1:2" x14ac:dyDescent="0.25">
      <c r="A29" s="19" t="s">
        <v>73</v>
      </c>
      <c r="B29" s="12">
        <f>B28/B26-1</f>
        <v>-0.7335665706490688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0.051647</v>
      </c>
      <c r="B5" s="31">
        <v>40.56646219582002</v>
      </c>
      <c r="C5" s="31">
        <v>41.56963399346123</v>
      </c>
      <c r="D5" s="31">
        <v>42.8382951641346</v>
      </c>
      <c r="E5" s="31">
        <v>44.556413028738426</v>
      </c>
      <c r="F5" s="31">
        <v>47.12897649872547</v>
      </c>
    </row>
    <row r="6" spans="1:6" x14ac:dyDescent="0.25">
      <c r="A6" s="30">
        <v>0.061647</v>
      </c>
      <c r="B6" s="31">
        <v>26.39624276815404</v>
      </c>
      <c r="C6" s="31">
        <v>26.64579305622071</v>
      </c>
      <c r="D6" s="31">
        <v>26.89534334428737</v>
      </c>
      <c r="E6" s="31">
        <v>27.144893632354055</v>
      </c>
      <c r="F6" s="31">
        <v>27.3944439204207</v>
      </c>
    </row>
    <row r="7" spans="1:6" x14ac:dyDescent="0.25">
      <c r="A7" s="30">
        <v>0.071647</v>
      </c>
      <c r="B7" s="31">
        <v>17.067958401344928</v>
      </c>
      <c r="C7" s="31">
        <v>17.273807865850774</v>
      </c>
      <c r="D7" s="32">
        <v>17.479657330356595</v>
      </c>
      <c r="E7" s="31">
        <v>17.68550679486243</v>
      </c>
      <c r="F7" s="31">
        <v>17.891356259368248</v>
      </c>
    </row>
    <row r="8" spans="1:6" x14ac:dyDescent="0.25">
      <c r="A8" s="30">
        <v>0.081647</v>
      </c>
      <c r="B8" s="31">
        <v>10.009458928446922</v>
      </c>
      <c r="C8" s="31">
        <v>10.182701822887395</v>
      </c>
      <c r="D8" s="31">
        <v>10.355944717327862</v>
      </c>
      <c r="E8" s="31">
        <v>10.529187611768336</v>
      </c>
      <c r="F8" s="31">
        <v>10.702430506208795</v>
      </c>
    </row>
    <row r="9" spans="1:6" x14ac:dyDescent="0.25">
      <c r="A9" s="30">
        <v>0.091647</v>
      </c>
      <c r="B9" s="31">
        <v>4.478510438602172</v>
      </c>
      <c r="C9" s="31">
        <v>4.626589062497159</v>
      </c>
      <c r="D9" s="31">
        <v>4.774667686392146</v>
      </c>
      <c r="E9" s="31">
        <v>4.922746310287132</v>
      </c>
      <c r="F9" s="31">
        <v>5.070824934182119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4362000000</v>
      </c>
      <c r="C5" s="18">
        <v>3981000000</v>
      </c>
      <c r="D5" s="18">
        <v>4027000000</v>
      </c>
      <c r="E5" s="18">
        <v>4205000000</v>
      </c>
      <c r="F5" s="8" t="s">
        <v>84</v>
      </c>
    </row>
    <row r="6" spans="1:6" x14ac:dyDescent="0.25">
      <c r="A6" t="s">
        <v>44</v>
      </c>
      <c r="B6" s="18">
        <v>1025000000</v>
      </c>
      <c r="C6" s="18">
        <v>886000000</v>
      </c>
      <c r="D6" s="18">
        <v>943000000</v>
      </c>
      <c r="E6" s="18">
        <v>928000000</v>
      </c>
      <c r="F6" s="8" t="s">
        <v>85</v>
      </c>
    </row>
    <row r="7" spans="1:6" x14ac:dyDescent="0.25">
      <c r="A7" t="s">
        <v>86</v>
      </c>
      <c r="B7" s="18">
        <v>846000000</v>
      </c>
      <c r="C7" s="18">
        <v>772000000</v>
      </c>
      <c r="D7" s="18">
        <v>676000000</v>
      </c>
      <c r="E7" s="18">
        <v>671000000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1224000000</v>
      </c>
      <c r="D8" s="18">
        <v>712000000</v>
      </c>
      <c r="E8" s="18">
        <v>372000000</v>
      </c>
      <c r="F8" s="8" t="s">
        <v>89</v>
      </c>
    </row>
    <row r="9" spans="1:6" x14ac:dyDescent="0.25">
      <c r="A9" t="s">
        <v>90</v>
      </c>
      <c r="B9" s="18">
        <v>356000000</v>
      </c>
      <c r="C9" s="18">
        <v>216000000</v>
      </c>
      <c r="D9" s="18">
        <v>487000000</v>
      </c>
      <c r="E9" s="18">
        <v>867000000</v>
      </c>
      <c r="F9" s="8" t="s">
        <v>91</v>
      </c>
    </row>
    <row r="10" spans="1:6" x14ac:dyDescent="0.25">
      <c r="A10" t="s">
        <v>92</v>
      </c>
      <c r="B10" s="18">
        <v>12116000000</v>
      </c>
      <c r="C10" s="18">
        <v>10406000000</v>
      </c>
      <c r="D10" s="18">
        <v>9509000000</v>
      </c>
      <c r="E10" s="18">
        <v>8718000000</v>
      </c>
      <c r="F10" s="8" t="s">
        <v>93</v>
      </c>
    </row>
    <row r="11" spans="1:6" x14ac:dyDescent="0.25">
      <c r="A11" t="s">
        <v>94</v>
      </c>
      <c r="B11" s="18">
        <v>556000000</v>
      </c>
      <c r="C11" s="18">
        <v>81000000</v>
      </c>
      <c r="D11" s="18">
        <v>62000000</v>
      </c>
      <c r="E11" s="18">
        <v>20000000</v>
      </c>
      <c r="F11" s="8" t="s">
        <v>95</v>
      </c>
    </row>
    <row r="12" spans="1:6" x14ac:dyDescent="0.25">
      <c r="A12" t="s">
        <v>32</v>
      </c>
      <c r="B12" s="34">
        <v>257800000</v>
      </c>
      <c r="C12" s="34">
        <v>256800000</v>
      </c>
      <c r="D12" s="34">
        <v>253300000</v>
      </c>
      <c r="E12" s="34">
        <v>251200000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