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<sst xmlns="http://schemas.openxmlformats.org/spreadsheetml/2006/main" count="119" uniqueCount="106">
  <si>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Alliant Energy Corporation (LNT)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</si>
  <si>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</si>
  <si>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</si>
  <si>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</si>
  <si>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</si>
  <si>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</si>
  <si>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</si>
  <si>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</si>
  <si>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</si>
  <si>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</si>
  <si>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</si>
  <si>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</si>
  <si>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</si>
  <si>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</si>
  <si>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</si>
  <si>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</si>
  <si>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</si>
  <si>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</si>
  <si>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</si>
  <si>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</si>
  <si>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</si>
  <si>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</si>
  <si>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</si>
  <si>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</si>
  <si>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+ 184bp, the spread for a BB rating at 2.1x interest cover. Book interest / average debt was lower, at 4.3%.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</si>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</sst>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0.04385287253553405</v>
      </c>
    </row>
    <row r="7" spans="1:2" x14ac:dyDescent="0.25">
      <c r="A7" t="s">
        <v>4</v>
      </c>
      <c r="B7" s="5">
        <v>0.2281000276937008</v>
      </c>
    </row>
    <row r="8" spans="1:2" x14ac:dyDescent="0.25">
      <c r="A8" t="s">
        <v>5</v>
      </c>
      <c r="B8" s="5">
        <v>0.018365577477844636</v>
      </c>
    </row>
    <row r="9" spans="1:2" x14ac:dyDescent="0.25">
      <c r="A9" t="s">
        <v>6</v>
      </c>
      <c r="B9" s="5">
        <v>0.1788269230871742</v>
      </c>
    </row>
    <row r="10" spans="1:3" x14ac:dyDescent="0.25">
      <c r="A10" t="s">
        <v>7</v>
      </c>
      <c r="B10" s="5">
        <v>0.14318327614912704</v>
      </c>
      <c r="C10" s="6" t="s">
        <v>8</v>
      </c>
    </row>
    <row r="11" spans="1:2" x14ac:dyDescent="0.25">
      <c r="A11" t="s">
        <v>9</v>
      </c>
      <c r="B11" s="5">
        <v>-0.035823844662694115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16.110776714056655</v>
      </c>
    </row>
    <row r="14" spans="1:3" x14ac:dyDescent="0.25">
      <c r="A14" t="s">
        <v>12</v>
      </c>
      <c r="B14" s="5">
        <v>0.07299881874092351</v>
      </c>
      <c r="C14" s="6" t="s">
        <v>13</v>
      </c>
    </row>
    <row r="15" spans="1:3" x14ac:dyDescent="0.25">
      <c r="A15" t="s">
        <v>14</v>
      </c>
      <c r="B15" s="5">
        <v>0.1788269230871742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0.6750499999999999</v>
      </c>
      <c r="C19" s="6" t="s">
        <v>21</v>
      </c>
    </row>
    <row r="20" spans="1:2" x14ac:dyDescent="0.25">
      <c r="A20" t="s">
        <v>22</v>
      </c>
      <c r="B20" s="9">
        <f>B17+B19*B18</f>
        <v>0.077494615</v>
      </c>
    </row>
    <row r="21" spans="1:3" x14ac:dyDescent="0.25">
      <c r="A21" t="s">
        <v>23</v>
      </c>
      <c r="B21" s="5">
        <v>0.06734000000000001</v>
      </c>
      <c r="C21" s="6" t="s">
        <v>24</v>
      </c>
    </row>
    <row r="22" spans="1:2" x14ac:dyDescent="0.25">
      <c r="A22" t="s">
        <v>25</v>
      </c>
      <c r="B22" s="10">
        <v>18583263232</v>
      </c>
    </row>
    <row r="23" spans="1:2" x14ac:dyDescent="0.25">
      <c r="A23" t="s">
        <v>26</v>
      </c>
      <c r="B23" s="10">
        <v>12116000000</v>
      </c>
    </row>
    <row r="24" spans="1:2" x14ac:dyDescent="0.25">
      <c r="A24" t="s">
        <v>27</v>
      </c>
      <c r="B24" s="9">
        <f>B22/(B22+B23)</f>
        <v>0.6053325479365042</v>
      </c>
    </row>
    <row r="25" spans="1:2" x14ac:dyDescent="0.25">
      <c r="A25" t="s">
        <v>28</v>
      </c>
      <c r="B25" s="9">
        <f>1-B24</f>
        <v>0.39466745206349585</v>
      </c>
    </row>
    <row r="26" spans="1:2" x14ac:dyDescent="0.25">
      <c r="A26" t="s">
        <v>29</v>
      </c>
      <c r="B26" s="11">
        <f>B24*B20+B25*B21*(1-B8)</f>
        <v>0.07299881874092351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4362000000</v>
      </c>
      <c r="C29" s="6" t="s">
        <v>32</v>
      </c>
    </row>
    <row r="30" spans="1:2" x14ac:dyDescent="0.25">
      <c r="A30" t="s">
        <v>33</v>
      </c>
      <c r="B30" s="10">
        <v>11560000000</v>
      </c>
    </row>
    <row r="31" spans="1:2" x14ac:dyDescent="0.25">
      <c r="A31" t="s">
        <v>34</v>
      </c>
      <c r="B31" s="12">
        <v>257800000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0.04385287253553405</v>
      </c>
      <c r="C5" s="5">
        <v>0.058517201981391764</v>
      </c>
      <c r="D5" s="5">
        <v>0.0543275517337178</v>
      </c>
      <c r="E5" s="5">
        <v>0.05013790148604382</v>
      </c>
      <c r="F5" s="5">
        <v>0.045948251238369854</v>
      </c>
      <c r="G5" s="5">
        <v>0.04175860099069588</v>
      </c>
      <c r="H5" s="5">
        <v>0.03756895074302191</v>
      </c>
      <c r="I5" s="5">
        <v>0.033379300495347944</v>
      </c>
      <c r="J5" s="5">
        <v>0.029189650247673973</v>
      </c>
      <c r="K5" s="5">
        <v>0.025</v>
      </c>
    </row>
    <row r="6" spans="1:11" x14ac:dyDescent="0.25">
      <c r="A6" t="s">
        <v>50</v>
      </c>
      <c r="B6" s="18">
        <f>Assumptions!B29*(1+B5)</f>
        <v>4553286229.999999</v>
      </c>
      <c r="C6" s="18">
        <f>B6*(1+C5)</f>
        <v>4819731799.999999</v>
      </c>
      <c r="D6" s="18">
        <f>C6*(1+D5)</f>
        <v>5081576028.707144</v>
      </c>
      <c r="E6" s="18">
        <f>D6*(1+E5)</f>
        <v>5336355587.028305</v>
      </c>
      <c r="F6" s="18">
        <f>E6*(1+F5)</f>
        <v>5581551794.238359</v>
      </c>
      <c r="G6" s="18">
        <f>F6*(1+G5)</f>
        <v>5814629588.5228615</v>
      </c>
      <c r="H6" s="18">
        <f>G6*(1+H5)</f>
        <v>6033079121.122994</v>
      </c>
      <c r="I6" s="18">
        <f>H6*(1+I5)</f>
        <v>6234459082.019169</v>
      </c>
      <c r="J6" s="18">
        <f>I6*(1+J5)</f>
        <v>6416440762.106744</v>
      </c>
      <c r="K6" s="18">
        <f>J6*(1+K5)</f>
        <v>6576851781.159411</v>
      </c>
    </row>
    <row r="7" spans="1:11" x14ac:dyDescent="0.25">
      <c r="A7" t="s">
        <v>4</v>
      </c>
      <c r="B7" s="9">
        <f>Assumptions!B7</f>
        <v>0.2281000276937008</v>
      </c>
      <c r="C7" s="9">
        <f>Assumptions!B7</f>
        <v>0.2281000276937008</v>
      </c>
      <c r="D7" s="9">
        <f>Assumptions!B7</f>
        <v>0.2281000276937008</v>
      </c>
      <c r="E7" s="9">
        <f>Assumptions!B7</f>
        <v>0.2281000276937008</v>
      </c>
      <c r="F7" s="9">
        <f>Assumptions!B7</f>
        <v>0.2281000276937008</v>
      </c>
      <c r="G7" s="9">
        <f>Assumptions!B7</f>
        <v>0.2281000276937008</v>
      </c>
      <c r="H7" s="9">
        <f>Assumptions!B7</f>
        <v>0.2281000276937008</v>
      </c>
      <c r="I7" s="9">
        <f>Assumptions!B7</f>
        <v>0.2281000276937008</v>
      </c>
      <c r="J7" s="9">
        <f>Assumptions!B7</f>
        <v>0.2281000276937008</v>
      </c>
      <c r="K7" s="9">
        <f>Assumptions!B7</f>
        <v>0.2281000276937008</v>
      </c>
    </row>
    <row r="8" spans="1:11" x14ac:dyDescent="0.25">
      <c r="A8" t="s">
        <v>51</v>
      </c>
      <c r="B8" s="18">
        <f>B6*B7</f>
        <v>1038604715.1603463</v>
      </c>
      <c r="C8" s="18">
        <f>C6*C7</f>
        <v>1099380957.0562103</v>
      </c>
      <c r="D8" s="18">
        <f>D6*D7</f>
        <v>1159107632.8757455</v>
      </c>
      <c r="E8" s="18">
        <f>E6*E7</f>
        <v>1217222857.1845913</v>
      </c>
      <c r="F8" s="18">
        <f>F6*F7</f>
        <v>1273152118.839595</v>
      </c>
      <c r="G8" s="18">
        <f>G6*G7</f>
        <v>1326317170.1706767</v>
      </c>
      <c r="H8" s="18">
        <f>H6*H7</f>
        <v>1376145514.6064432</v>
      </c>
      <c r="I8" s="18">
        <f>I6*I7</f>
        <v>1422080289.2638168</v>
      </c>
      <c r="J8" s="18">
        <f>J6*J7</f>
        <v>1463590315.531539</v>
      </c>
      <c r="K8" s="18">
        <f>K6*K7</f>
        <v>1500180073.4198272</v>
      </c>
    </row>
    <row r="9" spans="1:11" x14ac:dyDescent="0.25">
      <c r="A9" t="s">
        <v>52</v>
      </c>
      <c r="B9" s="18">
        <f>B8*(1-Assumptions!B8)</f>
        <v>1019530139.7952142</v>
      </c>
      <c r="C9" s="18">
        <f>C8*(1-Assumptions!B8)</f>
        <v>1079190190.9117274</v>
      </c>
      <c r="D9" s="18">
        <f>D8*(1-Assumptions!B8)</f>
        <v>1137819951.839005</v>
      </c>
      <c r="E9" s="18">
        <f>E8*(1-Assumptions!B8)</f>
        <v>1194867856.4931643</v>
      </c>
      <c r="F9" s="18">
        <f>F8*(1-Assumptions!B8)</f>
        <v>1249769944.9599645</v>
      </c>
      <c r="G9" s="18">
        <f>G8*(1-Assumptions!B8)</f>
        <v>1301958589.4217114</v>
      </c>
      <c r="H9" s="18">
        <f>H8*(1-Assumptions!B8)</f>
        <v>1350871807.5371501</v>
      </c>
      <c r="I9" s="18">
        <f>I8*(1-Assumptions!B8)</f>
        <v>1395962963.5316265</v>
      </c>
      <c r="J9" s="18">
        <f>J8*(1-Assumptions!B8)</f>
        <v>1436710634.1958215</v>
      </c>
      <c r="K9" s="18">
        <f>K8*(1-Assumptions!B8)</f>
        <v>1472628400.0507166</v>
      </c>
    </row>
    <row r="10" spans="1:11" x14ac:dyDescent="0.25">
      <c r="A10" t="s">
        <v>53</v>
      </c>
      <c r="B10" s="18">
        <f>B6*Assumptions!B9</f>
        <v>814250166.4460993</v>
      </c>
      <c r="C10" s="18">
        <f>C6*Assumptions!B9</f>
        <v>861897807.8994075</v>
      </c>
      <c r="D10" s="18">
        <f>D6*Assumptions!B9</f>
        <v>908722605.6472405</v>
      </c>
      <c r="E10" s="18">
        <f>E6*Assumptions!B9</f>
        <v>954284050.1273232</v>
      </c>
      <c r="F10" s="18">
        <f>F6*Assumptions!B9</f>
        <v>998131733.4153423</v>
      </c>
      <c r="G10" s="18">
        <f>G6*Assumptions!B9</f>
        <v>1039812318.2071851</v>
      </c>
      <c r="H10" s="18">
        <f>H6*Assumptions!B9</f>
        <v>1078876975.9718983</v>
      </c>
      <c r="I10" s="18">
        <f>I6*Assumptions!B9</f>
        <v>1114889134.7503767</v>
      </c>
      <c r="J10" s="18">
        <f>J6*Assumptions!B9</f>
        <v>1147432358.658672</v>
      </c>
      <c r="K10" s="18">
        <f>K6*Assumptions!B9</f>
        <v>1176118167.6251388</v>
      </c>
    </row>
    <row r="11" spans="1:11" x14ac:dyDescent="0.25">
      <c r="A11" t="s">
        <v>54</v>
      </c>
      <c r="B11" s="18">
        <f>-B6*B19</f>
        <v>-651954439.6561074</v>
      </c>
      <c r="C11" s="18">
        <f>-C6*C19</f>
        <v>-750258820.5097216</v>
      </c>
      <c r="D11" s="18">
        <f>-D6*D19</f>
        <v>-854440386.998124</v>
      </c>
      <c r="E11" s="18">
        <f>-E6*E19</f>
        <v>-963881914.5969943</v>
      </c>
      <c r="F11" s="18">
        <f>-F6*F19</f>
        <v>-1077832513.3323283</v>
      </c>
      <c r="G11" s="18">
        <f>-G6*G19</f>
        <v>-1195412185.4696262</v>
      </c>
      <c r="H11" s="18">
        <f>-H6*H19</f>
        <v>-1315619873.613914</v>
      </c>
      <c r="I11" s="18">
        <f>-I6*I19</f>
        <v>-1437345022.768215</v>
      </c>
      <c r="J11" s="18">
        <f>-J6*J19</f>
        <v>-1559382565.8013127</v>
      </c>
      <c r="K11" s="18">
        <f>-K6*K19</f>
        <v>-1680451123.0929353</v>
      </c>
    </row>
    <row r="12" spans="1:11" x14ac:dyDescent="0.25">
      <c r="A12" t="s">
        <v>55</v>
      </c>
      <c r="B12" s="18">
        <f>-(B6-Assumptions!B29)*Assumptions!B11</f>
        <v>6852608.189632345</v>
      </c>
      <c r="C12" s="18">
        <f>-(C6-B6)*Assumptions!B11</f>
        <v>9545104.710742991</v>
      </c>
      <c r="D12" s="18">
        <f>-(D6-C6)*Assumptions!B11</f>
        <v>9380266.975027705</v>
      </c>
      <c r="E12" s="18">
        <f>-(E6-D6)*Assumptions!B11</f>
        <v>9127183.320527097</v>
      </c>
      <c r="F12" s="18">
        <f>-(F6-E6)*Assumptions!B11</f>
        <v>8783870.838974748</v>
      </c>
      <c r="G12" s="18">
        <f>-(G6-F6)*Assumptions!B11</f>
        <v>8349742.696771375</v>
      </c>
      <c r="H12" s="18">
        <f>-(H6-G6)*Assumptions!B11</f>
        <v>7825702.122505297</v>
      </c>
      <c r="I12" s="18">
        <f>-(I6-H6)*Assumptions!B11</f>
        <v>7214204.437323968</v>
      </c>
      <c r="J12" s="18">
        <f>-(J6-I6)*Assumptions!B11</f>
        <v>6519283.43891338</v>
      </c>
      <c r="K12" s="18">
        <f>-(K6-J6)*Assumptions!B11</f>
        <v>5746539.428727231</v>
      </c>
    </row>
    <row r="13" spans="1:11" x14ac:dyDescent="0.25">
      <c r="A13" s="19" t="s">
        <v>56</v>
      </c>
      <c r="B13" s="20">
        <f>B9+B10+B11+B12</f>
        <v>1188678474.7748384</v>
      </c>
      <c r="C13" s="20">
        <f>C9+C10+C11+C12</f>
        <v>1200374283.012156</v>
      </c>
      <c r="D13" s="20">
        <f>D9+D10+D11+D12</f>
        <v>1201482437.4631493</v>
      </c>
      <c r="E13" s="20">
        <f>E9+E10+E11+E12</f>
        <v>1194397175.34402</v>
      </c>
      <c r="F13" s="20">
        <f>F9+F10+F11+F12</f>
        <v>1178853035.8819535</v>
      </c>
      <c r="G13" s="20">
        <f>G9+G10+G11+G12</f>
        <v>1154708464.856042</v>
      </c>
      <c r="H13" s="20">
        <f>H9+H10+H11+H12</f>
        <v>1121954612.0176396</v>
      </c>
      <c r="I13" s="20">
        <f>I9+I10+I11+I12</f>
        <v>1080721279.9511125</v>
      </c>
      <c r="J13" s="20">
        <f>J9+J10+J11+J12</f>
        <v>1031279710.4920943</v>
      </c>
      <c r="K13" s="20">
        <f>K9+K10+K11+K12</f>
        <v>974041984.0116476</v>
      </c>
    </row>
    <row r="14" spans="1:11" x14ac:dyDescent="0.25">
      <c r="A14" t="s">
        <v>57</v>
      </c>
      <c r="B14" s="21">
        <f>1/(1+Assumptions!$B$26)^(1-0.5*Assumptions!$B$32)</f>
        <v>0.9653846255276023</v>
      </c>
      <c r="C14" s="21">
        <f>1/(1+Assumptions!$B$26)^(2-0.5*Assumptions!$B$32)</f>
        <v>0.8997070720547505</v>
      </c>
      <c r="D14" s="21">
        <f>1/(1+Assumptions!$B$26)^(3-0.5*Assumptions!$B$32)</f>
        <v>0.8384977283670108</v>
      </c>
      <c r="E14" s="21">
        <f>1/(1+Assumptions!$B$26)^(4-0.5*Assumptions!$B$32)</f>
        <v>0.7814526108713887</v>
      </c>
      <c r="F14" s="21">
        <f>1/(1+Assumptions!$B$26)^(5-0.5*Assumptions!$B$32)</f>
        <v>0.7282884167462175</v>
      </c>
      <c r="G14" s="21">
        <f>1/(1+Assumptions!$B$26)^(6-0.5*Assumptions!$B$32)</f>
        <v>0.6787411169760693</v>
      </c>
      <c r="H14" s="21">
        <f>1/(1+Assumptions!$B$26)^(7-0.5*Assumptions!$B$32)</f>
        <v>0.6325646451060556</v>
      </c>
      <c r="I14" s="21">
        <f>1/(1+Assumptions!$B$26)^(8-0.5*Assumptions!$B$32)</f>
        <v>0.5895296752034812</v>
      </c>
      <c r="J14" s="21">
        <f>1/(1+Assumptions!$B$26)^(9-0.5*Assumptions!$B$32)</f>
        <v>0.5494224829578527</v>
      </c>
      <c r="K14" s="21">
        <f>1/(1+Assumptions!$B$26)^(10-0.5*Assumptions!$B$32)</f>
        <v>0.51204388426313</v>
      </c>
    </row>
    <row r="15" spans="1:11" x14ac:dyDescent="0.25">
      <c r="A15" s="19" t="s">
        <v>58</v>
      </c>
      <c r="B15" s="20">
        <f>B13*B14</f>
        <v>1147531924.243229</v>
      </c>
      <c r="C15" s="20">
        <f>C13*C14</f>
        <v>1079985231.5386875</v>
      </c>
      <c r="D15" s="20">
        <f>D13*D14</f>
        <v>1007440294.4857098</v>
      </c>
      <c r="E15" s="20">
        <f>E13*E14</f>
        <v>933364791.0899962</v>
      </c>
      <c r="F15" s="20">
        <f>F13*F14</f>
        <v>858545011.0789398</v>
      </c>
      <c r="G15" s="20">
        <f>G13*G14</f>
        <v>783748113.2181121</v>
      </c>
      <c r="H15" s="20">
        <f>H13*H14</f>
        <v>709708820.9760405</v>
      </c>
      <c r="I15" s="20">
        <f>I13*I14</f>
        <v>637117265.1550698</v>
      </c>
      <c r="J15" s="20">
        <f>J13*J14</f>
        <v>566608259.1626219</v>
      </c>
      <c r="K15" s="20">
        <f>K13*K14</f>
        <v>498752240.92868954</v>
      </c>
    </row>
    <row r="17" spans="1:2" x14ac:dyDescent="0.25">
      <c r="A17" s="22" t="s">
        <v>59</v>
      </c>
      <c r="B17" s="23">
        <f>SUM(B15:K15)</f>
        <v>8222801951.877097</v>
      </c>
    </row>
    <row r="19" spans="1:11" x14ac:dyDescent="0.25">
      <c r="A19" t="s">
        <v>7</v>
      </c>
      <c r="B19" s="9">
        <f>Assumptions!$B$10+($B$20-Assumptions!$B$10)*0/9</f>
        <v>0.14318327614912704</v>
      </c>
      <c r="C19" s="9">
        <f>Assumptions!$B$10+($B$20-Assumptions!$B$10)*1/9</f>
        <v>0.15566401858910942</v>
      </c>
      <c r="D19" s="9">
        <f>Assumptions!$B$10+($B$20-Assumptions!$B$10)*2/9</f>
        <v>0.1681447610290918</v>
      </c>
      <c r="E19" s="9">
        <f>Assumptions!$B$10+($B$20-Assumptions!$B$10)*3/9</f>
        <v>0.18062550346907413</v>
      </c>
      <c r="F19" s="9">
        <f>Assumptions!$B$10+($B$20-Assumptions!$B$10)*4/9</f>
        <v>0.1931062459090565</v>
      </c>
      <c r="G19" s="9">
        <f>Assumptions!$B$10+($B$20-Assumptions!$B$10)*5/9</f>
        <v>0.20558698834903888</v>
      </c>
      <c r="H19" s="9">
        <f>Assumptions!$B$10+($B$20-Assumptions!$B$10)*6/9</f>
        <v>0.21806773078902125</v>
      </c>
      <c r="I19" s="9">
        <f>Assumptions!$B$10+($B$20-Assumptions!$B$10)*7/9</f>
        <v>0.23054847322900363</v>
      </c>
      <c r="J19" s="9">
        <f>Assumptions!$B$10+($B$20-Assumptions!$B$10)*8/9</f>
        <v>0.243029215668986</v>
      </c>
      <c r="K19" s="9">
        <f>Assumptions!$B$10+($B$20-Assumptions!$B$10)*9/9</f>
        <v>0.25550995810896837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0.25550995810896837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974041984.0116476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1472628400.0507166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0.34247129516884733</v>
      </c>
    </row>
    <row r="7" spans="1:2" x14ac:dyDescent="0.25">
      <c r="A7" t="s">
        <v>66</v>
      </c>
      <c r="B7" s="18">
        <f>-MAX(B5,0)*B6</f>
        <v>-504332955.4677964</v>
      </c>
    </row>
    <row r="8" spans="1:2" x14ac:dyDescent="0.25">
      <c r="A8" t="s">
        <v>67</v>
      </c>
      <c r="B8" s="18">
        <f>IF(OR(Assumptions!$B$33=0,Assumptions!B12&lt;=0),B5,MAX(B5+B7,0))</f>
        <v>968295444.5829203</v>
      </c>
    </row>
    <row r="9" spans="1:2" x14ac:dyDescent="0.25">
      <c r="A9" t="s">
        <v>68</v>
      </c>
      <c r="B9" s="18">
        <f>B8*(1+Assumptions!B12)/(Assumptions!B26-Assumptions!B12)</f>
        <v>20677651174.17965</v>
      </c>
    </row>
    <row r="10" spans="1:2" x14ac:dyDescent="0.25">
      <c r="A10" t="s">
        <v>69</v>
      </c>
      <c r="B10" s="18">
        <f>B9/(1+Assumptions!B26)^(10-0.5*Assumptions!B32)</f>
        <v>10587864824.665018</v>
      </c>
    </row>
    <row r="11" spans="1:2" x14ac:dyDescent="0.25">
      <c r="A11" t="s">
        <v>70</v>
      </c>
      <c r="B11" s="18">
        <f>Forecast!B17+B10</f>
        <v>18810666776.542114</v>
      </c>
    </row>
    <row r="12" spans="1:2" x14ac:dyDescent="0.25">
      <c r="A12" t="s">
        <v>71</v>
      </c>
      <c r="B12" s="18">
        <f>-Assumptions!B30</f>
        <v>-11560000000</v>
      </c>
    </row>
    <row r="13" spans="1:2" x14ac:dyDescent="0.25">
      <c r="A13" t="s">
        <v>72</v>
      </c>
      <c r="B13" s="18">
        <f>B11+B12</f>
        <v>7250666776.542114</v>
      </c>
    </row>
    <row r="14" spans="1:2" x14ac:dyDescent="0.25">
      <c r="A14" s="19" t="s">
        <v>73</v>
      </c>
      <c r="B14" s="24">
        <f>B13/Assumptions!B31</f>
        <v>28.12516205020215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2676298241.0449657</v>
      </c>
    </row>
    <row r="18" spans="1:2" x14ac:dyDescent="0.25">
      <c r="A18" t="s">
        <v>68</v>
      </c>
      <c r="B18" s="18">
        <f>B17*Assumptions!B13</f>
        <v>43117243381.69802</v>
      </c>
    </row>
    <row r="19" spans="1:2" x14ac:dyDescent="0.25">
      <c r="A19" t="s">
        <v>69</v>
      </c>
      <c r="B19" s="18">
        <f>B18/(1+Assumptions!B26)^(10-0.5*Assumptions!B32)</f>
        <v>22077920779.88339</v>
      </c>
    </row>
    <row r="20" spans="1:2" x14ac:dyDescent="0.25">
      <c r="A20" t="s">
        <v>70</v>
      </c>
      <c r="B20" s="18">
        <f>Forecast!B17+B19</f>
        <v>30300722731.760487</v>
      </c>
    </row>
    <row r="21" spans="1:2" x14ac:dyDescent="0.25">
      <c r="A21" t="s">
        <v>71</v>
      </c>
      <c r="B21" s="18">
        <f>-Assumptions!B30</f>
        <v>-11560000000</v>
      </c>
    </row>
    <row r="22" spans="1:2" x14ac:dyDescent="0.25">
      <c r="A22" t="s">
        <v>72</v>
      </c>
      <c r="B22" s="18">
        <f>B20+B21</f>
        <v>18740722731.760487</v>
      </c>
    </row>
    <row r="23" spans="1:2" x14ac:dyDescent="0.25">
      <c r="A23" s="19" t="s">
        <v>73</v>
      </c>
      <c r="B23" s="25">
        <f>B22/Assumptions!B31</f>
        <v>72.69481276865976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71.65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28.12516205020215</v>
      </c>
    </row>
    <row r="29" spans="1:2" x14ac:dyDescent="0.25">
      <c r="A29" s="19" t="s">
        <v>81</v>
      </c>
      <c r="B29" s="11">
        <f>B28/B26-1</f>
        <v>-0.6074645910648688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0.052999</v>
      </c>
      <c r="B5" s="31">
        <v>58.59653085579975</v>
      </c>
      <c r="C5" s="31">
        <v>57.56731861090702</v>
      </c>
      <c r="D5" s="31">
        <v>56.662375606513415</v>
      </c>
      <c r="E5" s="31">
        <v>55.962750523321866</v>
      </c>
      <c r="F5" s="31">
        <v>55.63955113498812</v>
      </c>
    </row>
    <row r="6" spans="1:6" x14ac:dyDescent="0.25">
      <c r="A6" s="30">
        <v>0.062999</v>
      </c>
      <c r="B6" s="31">
        <v>41.68249807944177</v>
      </c>
      <c r="C6" s="31">
        <v>40.56227804665137</v>
      </c>
      <c r="D6" s="31">
        <v>39.44205801386097</v>
      </c>
      <c r="E6" s="31">
        <v>38.32183798107057</v>
      </c>
      <c r="F6" s="31">
        <v>37.201617948280166</v>
      </c>
    </row>
    <row r="7" spans="1:6" x14ac:dyDescent="0.25">
      <c r="A7" s="30">
        <v>0.072999</v>
      </c>
      <c r="B7" s="31">
        <v>29.951858837122803</v>
      </c>
      <c r="C7" s="31">
        <v>29.038421913998725</v>
      </c>
      <c r="D7" s="32">
        <v>28.124984990874648</v>
      </c>
      <c r="E7" s="31">
        <v>27.211548067750567</v>
      </c>
      <c r="F7" s="31">
        <v>26.298111144626475</v>
      </c>
    </row>
    <row r="8" spans="1:6" x14ac:dyDescent="0.25">
      <c r="A8" s="30">
        <v>0.082999</v>
      </c>
      <c r="B8" s="31">
        <v>21.051887770923727</v>
      </c>
      <c r="C8" s="31">
        <v>20.29215730638652</v>
      </c>
      <c r="D8" s="31">
        <v>19.53242684184932</v>
      </c>
      <c r="E8" s="31">
        <v>18.77269637731212</v>
      </c>
      <c r="F8" s="31">
        <v>18.01296591277491</v>
      </c>
    </row>
    <row r="9" spans="1:6" x14ac:dyDescent="0.25">
      <c r="A9" s="30">
        <v>0.092999</v>
      </c>
      <c r="B9" s="31">
        <v>14.069317552820795</v>
      </c>
      <c r="C9" s="31">
        <v>13.427572526337578</v>
      </c>
      <c r="D9" s="31">
        <v>12.78582749985436</v>
      </c>
      <c r="E9" s="31">
        <v>12.144082473371157</v>
      </c>
      <c r="F9" s="31">
        <v>11.502337446887932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4362000000</v>
      </c>
      <c r="C5" s="18">
        <v>3981000000</v>
      </c>
      <c r="D5" s="18">
        <v>4027000000</v>
      </c>
      <c r="E5" s="18">
        <v>4205000000</v>
      </c>
      <c r="F5" s="6" t="s">
        <v>91</v>
      </c>
    </row>
    <row r="6" spans="1:6" x14ac:dyDescent="0.25">
      <c r="A6" t="s">
        <v>51</v>
      </c>
      <c r="B6" s="18">
        <v>1025000000</v>
      </c>
      <c r="C6" s="18">
        <v>886000000</v>
      </c>
      <c r="D6" s="18">
        <v>943000000</v>
      </c>
      <c r="E6" s="18">
        <v>928000000</v>
      </c>
      <c r="F6" s="6" t="s">
        <v>92</v>
      </c>
    </row>
    <row r="7" spans="1:6" x14ac:dyDescent="0.25">
      <c r="A7" t="s">
        <v>93</v>
      </c>
      <c r="B7" s="18">
        <v>846000000</v>
      </c>
      <c r="C7" s="18">
        <v>772000000</v>
      </c>
      <c r="D7" s="18">
        <v>676000000</v>
      </c>
      <c r="E7" s="18">
        <v>671000000</v>
      </c>
      <c r="F7" s="6" t="s">
        <v>94</v>
      </c>
    </row>
    <row r="8" spans="1:6" x14ac:dyDescent="0.25">
      <c r="A8" t="s">
        <v>95</v>
      </c>
      <c r="B8" s="18">
        <v>0</v>
      </c>
      <c r="C8" s="18">
        <v>1224000000</v>
      </c>
      <c r="D8" s="18">
        <v>712000000</v>
      </c>
      <c r="E8" s="18">
        <v>372000000</v>
      </c>
      <c r="F8" s="6" t="s">
        <v>96</v>
      </c>
    </row>
    <row r="9" spans="1:6" x14ac:dyDescent="0.25">
      <c r="A9" t="s">
        <v>97</v>
      </c>
      <c r="B9" s="18">
        <v>356000000</v>
      </c>
      <c r="C9" s="18">
        <v>216000000</v>
      </c>
      <c r="D9" s="18">
        <v>487000000</v>
      </c>
      <c r="E9" s="18">
        <v>867000000</v>
      </c>
      <c r="F9" s="6" t="s">
        <v>98</v>
      </c>
    </row>
    <row r="10" spans="1:6" x14ac:dyDescent="0.25">
      <c r="A10" t="s">
        <v>99</v>
      </c>
      <c r="B10" s="18">
        <v>12116000000</v>
      </c>
      <c r="C10" s="18">
        <v>10406000000</v>
      </c>
      <c r="D10" s="18">
        <v>9509000000</v>
      </c>
      <c r="E10" s="18">
        <v>8718000000</v>
      </c>
      <c r="F10" s="6" t="s">
        <v>100</v>
      </c>
    </row>
    <row r="11" spans="1:6" x14ac:dyDescent="0.25">
      <c r="A11" t="s">
        <v>101</v>
      </c>
      <c r="B11" s="18">
        <v>556000000</v>
      </c>
      <c r="C11" s="18">
        <v>81000000</v>
      </c>
      <c r="D11" s="18">
        <v>62000000</v>
      </c>
      <c r="E11" s="18">
        <v>20000000</v>
      </c>
      <c r="F11" s="6" t="s">
        <v>102</v>
      </c>
    </row>
    <row r="12" spans="1:6" x14ac:dyDescent="0.25">
      <c r="A12" t="s">
        <v>34</v>
      </c>
      <c r="B12" s="34">
        <v>257800000</v>
      </c>
      <c r="C12" s="34">
        <v>256800000</v>
      </c>
      <c r="D12" s="34">
        <v>253300000</v>
      </c>
      <c r="E12" s="34">
        <v>251200000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