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<sst xmlns="http://schemas.openxmlformats.org/spreadsheetml/2006/main" count="112" uniqueCount="100">
  <si>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Light &amp; Wonder, Inc. (LNW.AX)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</si>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</sst>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0.09675836721292597</v>
      </c>
    </row>
    <row r="7" spans="1:2" x14ac:dyDescent="0.25">
      <c r="A7" t="s">
        <v>5</v>
      </c>
      <c r="B7" s="6">
        <v>0.22204979782453016</v>
      </c>
    </row>
    <row r="8" spans="1:2" x14ac:dyDescent="0.25">
      <c r="A8" t="s">
        <v>6</v>
      </c>
      <c r="B8" s="6">
        <v>0.20190023752969122</v>
      </c>
    </row>
    <row r="9" spans="1:2" x14ac:dyDescent="0.25">
      <c r="A9" t="s">
        <v>7</v>
      </c>
      <c r="B9" s="6">
        <v>0.13381692223469863</v>
      </c>
    </row>
    <row r="10" spans="1:2" x14ac:dyDescent="0.25">
      <c r="A10" t="s">
        <v>8</v>
      </c>
      <c r="B10" s="6">
        <v>0.08878535025320693</v>
      </c>
    </row>
    <row r="11" spans="1:2" x14ac:dyDescent="0.25">
      <c r="A11" t="s">
        <v>9</v>
      </c>
      <c r="B11" s="6">
        <v>0.26573426573426573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10.315439510703364</v>
      </c>
    </row>
    <row r="14" spans="1:3" x14ac:dyDescent="0.25">
      <c r="A14" t="s">
        <v>12</v>
      </c>
      <c r="B14" s="6">
        <v>0.11903011387216256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0.5886199999999999</v>
      </c>
      <c r="C19" s="8" t="s">
        <v>19</v>
      </c>
    </row>
    <row r="20" spans="1:2" x14ac:dyDescent="0.25">
      <c r="A20" t="s">
        <v>20</v>
      </c>
      <c r="B20" s="10">
        <f>B17+B19*B18</f>
        <v>0.08879719999999999</v>
      </c>
    </row>
    <row r="21" spans="1:3" x14ac:dyDescent="0.25">
      <c r="A21" t="s">
        <v>21</v>
      </c>
      <c r="B21" s="6">
        <v>0.06880683685767502</v>
      </c>
      <c r="C21" s="8" t="s">
        <v>22</v>
      </c>
    </row>
    <row r="22" spans="1:2" x14ac:dyDescent="0.25">
      <c r="A22" t="s">
        <v>23</v>
      </c>
      <c r="B22" s="11">
        <v>8449594880</v>
      </c>
    </row>
    <row r="23" spans="1:2" x14ac:dyDescent="0.25">
      <c r="A23" t="s">
        <v>24</v>
      </c>
      <c r="B23" s="11">
        <v>5210000000</v>
      </c>
    </row>
    <row r="24" spans="1:2" x14ac:dyDescent="0.25">
      <c r="A24" t="s">
        <v>25</v>
      </c>
      <c r="B24" s="10">
        <f>B22/(B22+B23)</f>
        <v>0.6185831244798967</v>
      </c>
    </row>
    <row r="25" spans="1:2" x14ac:dyDescent="0.25">
      <c r="A25" t="s">
        <v>26</v>
      </c>
      <c r="B25" s="10">
        <f>1-B24</f>
        <v>0.3814168755201033</v>
      </c>
    </row>
    <row r="26" spans="1:2" x14ac:dyDescent="0.25">
      <c r="A26" t="s">
        <v>27</v>
      </c>
      <c r="B26" s="12">
        <f>B24*B20+B25*B21*(1-B8)</f>
        <v>0.07587385040167222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3314000000</v>
      </c>
      <c r="C29" s="8" t="s">
        <v>30</v>
      </c>
    </row>
    <row r="30" spans="1:2" x14ac:dyDescent="0.25">
      <c r="A30" t="s">
        <v>31</v>
      </c>
      <c r="B30" s="11">
        <v>5043000000</v>
      </c>
    </row>
    <row r="31" spans="1:2" x14ac:dyDescent="0.25">
      <c r="A31" t="s">
        <v>32</v>
      </c>
      <c r="B31" s="13">
        <v>85000000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0.09675836721292597</v>
      </c>
      <c r="C5" s="10">
        <f>Assumptions!B6</f>
        <v>0.09675836721292597</v>
      </c>
      <c r="D5" s="10">
        <f>Assumptions!B6</f>
        <v>0.09675836721292597</v>
      </c>
      <c r="E5" s="10">
        <f>Assumptions!B6</f>
        <v>0.09675836721292597</v>
      </c>
      <c r="F5" s="10">
        <f>Assumptions!B6</f>
        <v>0.09675836721292597</v>
      </c>
    </row>
    <row r="6" spans="1:6" x14ac:dyDescent="0.25">
      <c r="A6" t="s">
        <v>43</v>
      </c>
      <c r="B6" s="18">
        <f>Assumptions!B29*(1+B5)</f>
        <v>3634657228.9436364</v>
      </c>
      <c r="C6" s="18">
        <f>B6*(1+C5)</f>
        <v>3986340727.794881</v>
      </c>
      <c r="D6" s="18">
        <f>C6*(1+D5)</f>
        <v>4372052547.7707</v>
      </c>
      <c r="E6" s="18">
        <f>D6*(1+E5)</f>
        <v>4795085213.6621065</v>
      </c>
      <c r="F6" s="18">
        <f>E6*(1+F5)</f>
        <v>5259049829.582896</v>
      </c>
    </row>
    <row r="7" spans="1:6" x14ac:dyDescent="0.25">
      <c r="A7" t="s">
        <v>5</v>
      </c>
      <c r="B7" s="10">
        <f>Assumptions!B7</f>
        <v>0.22204979782453016</v>
      </c>
      <c r="C7" s="10">
        <f>Assumptions!B7</f>
        <v>0.22204979782453016</v>
      </c>
      <c r="D7" s="10">
        <f>Assumptions!B7</f>
        <v>0.22204979782453016</v>
      </c>
      <c r="E7" s="10">
        <f>Assumptions!B7</f>
        <v>0.22204979782453016</v>
      </c>
      <c r="F7" s="10">
        <f>Assumptions!B7</f>
        <v>0.22204979782453016</v>
      </c>
    </row>
    <row r="8" spans="1:6" x14ac:dyDescent="0.25">
      <c r="A8" t="s">
        <v>44</v>
      </c>
      <c r="B8" s="18">
        <f>B6*B7</f>
        <v>807074902.8484015</v>
      </c>
      <c r="C8" s="18">
        <f>C6*C7</f>
        <v>885166152.6665437</v>
      </c>
      <c r="D8" s="18">
        <f>D6*D7</f>
        <v>970813384.310706</v>
      </c>
      <c r="E8" s="18">
        <f>E6*E7</f>
        <v>1064747702.2450647</v>
      </c>
      <c r="F8" s="18">
        <f>F6*F7</f>
        <v>1167770951.408012</v>
      </c>
    </row>
    <row r="9" spans="1:6" x14ac:dyDescent="0.25">
      <c r="A9" t="s">
        <v>45</v>
      </c>
      <c r="B9" s="18">
        <f>B8*(1-Assumptions!B8)</f>
        <v>644126288.2590568</v>
      </c>
      <c r="C9" s="18">
        <f>C8*(1-Assumptions!B8)</f>
        <v>706450896.1899257</v>
      </c>
      <c r="D9" s="18">
        <f>D8*(1-Assumptions!B8)</f>
        <v>774805931.4213711</v>
      </c>
      <c r="E9" s="18">
        <f>E8*(1-Assumptions!B8)</f>
        <v>849774888.2525933</v>
      </c>
      <c r="F9" s="18">
        <f>F8*(1-Assumptions!B8)</f>
        <v>931997718.9384608</v>
      </c>
    </row>
    <row r="10" spans="1:6" x14ac:dyDescent="0.25">
      <c r="A10" t="s">
        <v>46</v>
      </c>
      <c r="B10" s="18">
        <f>B6*Assumptions!B9</f>
        <v>486378643.7553358</v>
      </c>
      <c r="C10" s="18">
        <f>C6*Assumptions!B9</f>
        <v>533439847.1723395</v>
      </c>
      <c r="D10" s="18">
        <f>D6*Assumptions!B9</f>
        <v>585054615.7910478</v>
      </c>
      <c r="E10" s="18">
        <f>E6*Assumptions!B9</f>
        <v>641663545.1453754</v>
      </c>
      <c r="F10" s="18">
        <f>F6*Assumptions!B9</f>
        <v>703749862.0736995</v>
      </c>
    </row>
    <row r="11" spans="1:6" x14ac:dyDescent="0.25">
      <c r="A11" t="s">
        <v>47</v>
      </c>
      <c r="B11" s="18">
        <f>-B6*Assumptions!B10</f>
        <v>-322704315.12211126</v>
      </c>
      <c r="C11" s="18">
        <f>-C6*Assumptions!B10</f>
        <v>-353928657.7458923</v>
      </c>
      <c r="D11" s="18">
        <f>-D6*Assumptions!B10</f>
        <v>-388174216.77924734</v>
      </c>
      <c r="E11" s="18">
        <f>-E6*Assumptions!B10</f>
        <v>-425733320.1889637</v>
      </c>
      <c r="F11" s="18">
        <f>-F6*Assumptions!B10</f>
        <v>-466926581.11858565</v>
      </c>
    </row>
    <row r="12" spans="1:6" x14ac:dyDescent="0.25">
      <c r="A12" t="s">
        <v>48</v>
      </c>
      <c r="B12" s="18">
        <f>-(B6-Assumptions!B29)*Assumptions!B11</f>
        <v>-85209613.28572157</v>
      </c>
      <c r="C12" s="18">
        <f>-(C6-B6)*Assumptions!B11</f>
        <v>-93454356.33809292</v>
      </c>
      <c r="D12" s="18">
        <f>-(D6-C6)*Assumptions!B11</f>
        <v>-102496847.2663017</v>
      </c>
      <c r="E12" s="18">
        <f>-(E6-D6)*Assumptions!B11</f>
        <v>-112414274.85226175</v>
      </c>
      <c r="F12" s="18">
        <f>-(F6-E6)*Assumptions!B11</f>
        <v>-123291296.53839166</v>
      </c>
    </row>
    <row r="13" spans="1:6" x14ac:dyDescent="0.25">
      <c r="A13" s="19" t="s">
        <v>49</v>
      </c>
      <c r="B13" s="20">
        <f>B9+B10+B11+B12</f>
        <v>722591003.6065598</v>
      </c>
      <c r="C13" s="20">
        <f>C9+C10+C11+C12</f>
        <v>792507729.2782799</v>
      </c>
      <c r="D13" s="20">
        <f>D9+D10+D11+D12</f>
        <v>869189483.16687</v>
      </c>
      <c r="E13" s="20">
        <f>E9+E10+E11+E12</f>
        <v>953290838.3567433</v>
      </c>
      <c r="F13" s="20">
        <f>F9+F10+F11+F12</f>
        <v>1045529703.355183</v>
      </c>
    </row>
    <row r="14" spans="1:6" x14ac:dyDescent="0.25">
      <c r="A14" t="s">
        <v>50</v>
      </c>
      <c r="B14" s="21">
        <f>1/(1+Assumptions!$B$26)^(1-0.5*Assumptions!$B$32)</f>
        <v>0.9640938756516861</v>
      </c>
      <c r="C14" s="21">
        <f>1/(1+Assumptions!$B$26)^(2-0.5*Assumptions!$B$32)</f>
        <v>0.8961030842898045</v>
      </c>
      <c r="D14" s="21">
        <f>1/(1+Assumptions!$B$26)^(3-0.5*Assumptions!$B$32)</f>
        <v>0.8329072074344485</v>
      </c>
      <c r="E14" s="21">
        <f>1/(1+Assumptions!$B$26)^(4-0.5*Assumptions!$B$32)</f>
        <v>0.7741680933350007</v>
      </c>
      <c r="F14" s="21">
        <f>1/(1+Assumptions!$B$26)^(5-0.5*Assumptions!$B$32)</f>
        <v>0.7195714377163911</v>
      </c>
    </row>
    <row r="15" spans="1:6" x14ac:dyDescent="0.25">
      <c r="A15" s="19" t="s">
        <v>51</v>
      </c>
      <c r="B15" s="20">
        <f>B13*B14</f>
        <v>696645561.1780897</v>
      </c>
      <c r="C15" s="20">
        <f>C13*C14</f>
        <v>710168620.529776</v>
      </c>
      <c r="D15" s="20">
        <f>D13*D14</f>
        <v>723954185.1559092</v>
      </c>
      <c r="E15" s="20">
        <f>E13*E14</f>
        <v>738007350.7243643</v>
      </c>
      <c r="F15" s="20">
        <f>F13*F14</f>
        <v>752333311.818481</v>
      </c>
    </row>
    <row r="17" spans="1:2" x14ac:dyDescent="0.25">
      <c r="A17" s="22" t="s">
        <v>52</v>
      </c>
      <c r="B17" s="23">
        <f>SUM(B15:F15)</f>
        <v>3621109029.40662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1045529703.355183</v>
      </c>
    </row>
    <row r="5" spans="1:2" x14ac:dyDescent="0.25">
      <c r="A5" t="s">
        <v>56</v>
      </c>
      <c r="B5" s="18">
        <f>IF(Assumptions!$B$33=0,B4,B4-Forecast!F11-Forecast!F10-Forecast!F12)</f>
        <v>931997718.9384608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0.2100308836707475</v>
      </c>
    </row>
    <row r="7" spans="1:2" x14ac:dyDescent="0.25">
      <c r="A7" t="s">
        <v>58</v>
      </c>
      <c r="B7" s="18">
        <f>-MAX(Forecast!F9,0)*B6</f>
        <v>-195748304.48776588</v>
      </c>
    </row>
    <row r="8" spans="1:2" x14ac:dyDescent="0.25">
      <c r="A8" t="s">
        <v>59</v>
      </c>
      <c r="B8" s="18">
        <f>IF(OR(Assumptions!$B$33=0,Assumptions!B12&lt;=0),B5,MAX(B5+B7,0))</f>
        <v>736249414.4506949</v>
      </c>
    </row>
    <row r="9" spans="1:2" x14ac:dyDescent="0.25">
      <c r="A9" t="s">
        <v>60</v>
      </c>
      <c r="B9" s="18">
        <f>B8*(1+Assumptions!B12)/(Assumptions!B26-Assumptions!B12)</f>
        <v>14833861479.98652</v>
      </c>
    </row>
    <row r="10" spans="1:2" x14ac:dyDescent="0.25">
      <c r="A10" t="s">
        <v>61</v>
      </c>
      <c r="B10" s="18">
        <f>B9/(1+Assumptions!B26)^(5-0.5*Assumptions!B32)</f>
        <v>10674023032.039694</v>
      </c>
    </row>
    <row r="11" spans="1:2" x14ac:dyDescent="0.25">
      <c r="A11" t="s">
        <v>62</v>
      </c>
      <c r="B11" s="18">
        <f>Forecast!B17+B10</f>
        <v>14295132061.446314</v>
      </c>
    </row>
    <row r="12" spans="1:2" x14ac:dyDescent="0.25">
      <c r="A12" t="s">
        <v>63</v>
      </c>
      <c r="B12" s="18">
        <f>-Assumptions!B30</f>
        <v>-5043000000</v>
      </c>
    </row>
    <row r="13" spans="1:2" x14ac:dyDescent="0.25">
      <c r="A13" t="s">
        <v>64</v>
      </c>
      <c r="B13" s="18">
        <f>B11+B12</f>
        <v>9252132061.446314</v>
      </c>
    </row>
    <row r="14" spans="1:2" x14ac:dyDescent="0.25">
      <c r="A14" s="19" t="s">
        <v>65</v>
      </c>
      <c r="B14" s="24">
        <f>B13/Assumptions!B31</f>
        <v>108.84861248760369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1871520813.4817114</v>
      </c>
    </row>
    <row r="18" spans="1:2" x14ac:dyDescent="0.25">
      <c r="A18" t="s">
        <v>60</v>
      </c>
      <c r="B18" s="18">
        <f>B17*Assumptions!B13</f>
        <v>19305559744.492947</v>
      </c>
    </row>
    <row r="19" spans="1:2" x14ac:dyDescent="0.25">
      <c r="A19" t="s">
        <v>61</v>
      </c>
      <c r="B19" s="18">
        <f>B18/(1+Assumptions!B26)^(5-0.5*Assumptions!B32)</f>
        <v>13891729381.264473</v>
      </c>
    </row>
    <row r="20" spans="1:2" x14ac:dyDescent="0.25">
      <c r="A20" t="s">
        <v>62</v>
      </c>
      <c r="B20" s="18">
        <f>Forecast!B17+B19</f>
        <v>17512838410.671093</v>
      </c>
    </row>
    <row r="21" spans="1:2" x14ac:dyDescent="0.25">
      <c r="A21" t="s">
        <v>63</v>
      </c>
      <c r="B21" s="18">
        <f>-Assumptions!B30</f>
        <v>-5043000000</v>
      </c>
    </row>
    <row r="22" spans="1:2" x14ac:dyDescent="0.25">
      <c r="A22" t="s">
        <v>64</v>
      </c>
      <c r="B22" s="18">
        <f>B20+B21</f>
        <v>12469838410.671093</v>
      </c>
    </row>
    <row r="23" spans="1:2" x14ac:dyDescent="0.25">
      <c r="A23" s="19" t="s">
        <v>65</v>
      </c>
      <c r="B23" s="25">
        <f>B22/Assumptions!B31</f>
        <v>146.70398130201286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113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152.8452216550931</v>
      </c>
    </row>
    <row r="29" spans="1:2" x14ac:dyDescent="0.25">
      <c r="A29" s="19" t="s">
        <v>73</v>
      </c>
      <c r="B29" s="12">
        <f>B28/B26-1</f>
        <v>0.352612581018523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0.055874</v>
      </c>
      <c r="B5" s="31">
        <v>171.68724098824777</v>
      </c>
      <c r="C5" s="31">
        <v>188.4482936169071</v>
      </c>
      <c r="D5" s="31">
        <v>210.52139800788112</v>
      </c>
      <c r="E5" s="31">
        <v>240.98612347533543</v>
      </c>
      <c r="F5" s="31">
        <v>285.87266625129087</v>
      </c>
    </row>
    <row r="6" spans="1:6" x14ac:dyDescent="0.25">
      <c r="A6" s="30">
        <v>0.065874</v>
      </c>
      <c r="B6" s="31">
        <v>127.77774218191439</v>
      </c>
      <c r="C6" s="31">
        <v>136.51468943957786</v>
      </c>
      <c r="D6" s="31">
        <v>147.30460444059614</v>
      </c>
      <c r="E6" s="31">
        <v>161.00589483815313</v>
      </c>
      <c r="F6" s="31">
        <v>179.0330398363714</v>
      </c>
    </row>
    <row r="7" spans="1:6" x14ac:dyDescent="0.25">
      <c r="A7" s="30">
        <v>0.075874</v>
      </c>
      <c r="B7" s="31">
        <v>98.2475381762805</v>
      </c>
      <c r="C7" s="31">
        <v>103.10319319141031</v>
      </c>
      <c r="D7" s="32">
        <v>108.84814960893198</v>
      </c>
      <c r="E7" s="31">
        <v>115.7731935176078</v>
      </c>
      <c r="F7" s="31">
        <v>124.31139514220922</v>
      </c>
    </row>
    <row r="8" spans="1:6" x14ac:dyDescent="0.25">
      <c r="A8" s="30">
        <v>0.085874</v>
      </c>
      <c r="B8" s="31">
        <v>77.01270021513052</v>
      </c>
      <c r="C8" s="31">
        <v>79.78217496445205</v>
      </c>
      <c r="D8" s="31">
        <v>82.95437774666394</v>
      </c>
      <c r="E8" s="31">
        <v>86.63742540490178</v>
      </c>
      <c r="F8" s="31">
        <v>90.98193855363242</v>
      </c>
    </row>
    <row r="9" spans="1:6" x14ac:dyDescent="0.25">
      <c r="A9" s="30">
        <v>0.095874</v>
      </c>
      <c r="B9" s="31">
        <v>60.99822257046731</v>
      </c>
      <c r="C9" s="31">
        <v>62.56485129542568</v>
      </c>
      <c r="D9" s="31">
        <v>64.30948154656541</v>
      </c>
      <c r="E9" s="31">
        <v>66.2726455959926</v>
      </c>
      <c r="F9" s="31">
        <v>68.5081924921402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3314000000</v>
      </c>
      <c r="C5" s="18">
        <v>3188000000</v>
      </c>
      <c r="D5" s="18">
        <v>2902000000</v>
      </c>
      <c r="E5" s="18">
        <v>2512000000</v>
      </c>
      <c r="F5" s="8" t="s">
        <v>84</v>
      </c>
    </row>
    <row r="6" spans="1:6" x14ac:dyDescent="0.25">
      <c r="A6" t="s">
        <v>44</v>
      </c>
      <c r="B6" s="18">
        <v>902000000</v>
      </c>
      <c r="C6" s="18">
        <v>762000000</v>
      </c>
      <c r="D6" s="18">
        <v>610000000</v>
      </c>
      <c r="E6" s="18">
        <v>419000000</v>
      </c>
      <c r="F6" s="8" t="s">
        <v>85</v>
      </c>
    </row>
    <row r="7" spans="1:6" x14ac:dyDescent="0.25">
      <c r="A7" t="s">
        <v>86</v>
      </c>
      <c r="B7" s="18">
        <v>406000000</v>
      </c>
      <c r="C7" s="18">
        <v>361000000</v>
      </c>
      <c r="D7" s="18">
        <v>384000000</v>
      </c>
      <c r="E7" s="18">
        <v>420000000</v>
      </c>
      <c r="F7" s="8" t="s">
        <v>87</v>
      </c>
    </row>
    <row r="8" spans="1:6" x14ac:dyDescent="0.25">
      <c r="A8" t="s">
        <v>88</v>
      </c>
      <c r="B8" s="18">
        <v>310000000</v>
      </c>
      <c r="C8" s="18">
        <v>294000000</v>
      </c>
      <c r="D8" s="18">
        <v>242000000</v>
      </c>
      <c r="E8" s="18">
        <v>216000000</v>
      </c>
      <c r="F8" s="8" t="s">
        <v>89</v>
      </c>
    </row>
    <row r="9" spans="1:6" x14ac:dyDescent="0.25">
      <c r="A9" t="s">
        <v>90</v>
      </c>
      <c r="B9" s="18">
        <v>62000000</v>
      </c>
      <c r="C9" s="18">
        <v>76000000</v>
      </c>
      <c r="D9" s="18">
        <v>82000000</v>
      </c>
      <c r="E9" s="18">
        <v>863000000</v>
      </c>
      <c r="F9" s="8" t="s">
        <v>91</v>
      </c>
    </row>
    <row r="10" spans="1:6" x14ac:dyDescent="0.25">
      <c r="A10" t="s">
        <v>92</v>
      </c>
      <c r="B10" s="18">
        <v>5210000000</v>
      </c>
      <c r="C10" s="18">
        <v>3917000000</v>
      </c>
      <c r="D10" s="18">
        <v>3932000000</v>
      </c>
      <c r="E10" s="18">
        <v>3948000000</v>
      </c>
      <c r="F10" s="8" t="s">
        <v>93</v>
      </c>
    </row>
    <row r="11" spans="1:6" x14ac:dyDescent="0.25">
      <c r="A11" t="s">
        <v>94</v>
      </c>
      <c r="B11" s="18">
        <v>167000000</v>
      </c>
      <c r="C11" s="18">
        <v>196000000</v>
      </c>
      <c r="D11" s="18">
        <v>425000000</v>
      </c>
      <c r="E11" s="18">
        <v>914000000</v>
      </c>
      <c r="F11" s="8" t="s">
        <v>95</v>
      </c>
    </row>
    <row r="12" spans="1:6" x14ac:dyDescent="0.25">
      <c r="A12" t="s">
        <v>32</v>
      </c>
      <c r="B12" s="34">
        <v>85000000</v>
      </c>
      <c r="C12" s="34">
        <v>91000000</v>
      </c>
      <c r="D12" s="34">
        <v>93000000</v>
      </c>
      <c r="E12" s="34">
        <v>95000000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