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<sst xmlns="http://schemas.openxmlformats.org/spreadsheetml/2006/main" count="113" uniqueCount="101">
  <si>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Logista Integral, S.A. (LOG.MC)</t>
  </si>
  <si>
    <t>DCF Studio - Base case</t>
  </si>
  <si>
    <t>Blue figures on a cream fill are inputs. Every other figure is a formula - change an input and the model reprices. Currency figures are EUR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</si>
  <si>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</si>
  <si>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</si>
  <si>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</si>
  <si>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</si>
  <si>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</si>
  <si>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</si>
  <si>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</si>
  <si>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</si>
  <si>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</si>
  <si>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</si>
  <si>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</si>
  <si>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</si>
  <si>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</si>
  <si>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</si>
  <si>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</si>
  <si>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</si>
  <si>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</si>
  <si>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</si>
  <si>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</si>
  <si>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</si>
  <si>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(EUR m)</t>
  </si>
  <si>
    <t>Total debt (EUR m)</t>
  </si>
  <si>
    <t>Equity weight</t>
  </si>
  <si>
    <t>Debt weight</t>
  </si>
  <si>
    <t>WACC</t>
  </si>
  <si>
    <t>Base year</t>
  </si>
  <si>
    <t>Revenue, last reported year (EUR m)</t>
  </si>
  <si>
    <t>Fiscal year ended 2024-09-30</t>
  </si>
  <si>
    <t>Net debt (EUR m)</t>
  </si>
  <si>
    <t>Diluted shares</t>
  </si>
  <si>
    <t>Mid-year discounting (1 = yes, 0 = no)</t>
  </si>
  <si>
    <t>Terminal year on a steady-state footing (1 = yes, 0 = no)</t>
  </si>
  <si>
    <t>Forecast cashflows (EUR m)</t>
  </si>
  <si>
    <t>Every figure below is a formula. Edit the drivers on Assumptions.</t>
  </si>
  <si>
    <t>Year</t>
  </si>
  <si>
    <t>FY25</t>
  </si>
  <si>
    <t>FY26</t>
  </si>
  <si>
    <t>FY27</t>
  </si>
  <si>
    <t>FY28</t>
  </si>
  <si>
    <t>FY29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</si>
  <si>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</si>
  <si>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</si>
  <si>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</si>
  <si>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</si>
  <si>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</si>
  <si>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</si>
  <si>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</si>
  <si>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</si>
  <si>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</si>
  <si>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</si>
  <si>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(EUR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</si>
  <si>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</si>
  <si>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</si>
  <si>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</si>
  <si>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</si>
  <si>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</si>
  <si>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</si>
  <si>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</si>
  <si>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</si>
  <si>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</si>
  <si>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</si>
  <si>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</si>
  <si>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</si>
  <si>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</si>
  <si>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</si>
  <si>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</si>
  <si>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(EUR)</t>
  </si>
  <si>
    <t>Conversion, EUR to EUR</t>
  </si>
  <si>
    <t>Same currency, no conversion</t>
  </si>
  <si>
    <t>Value per share (EUR)</t>
  </si>
  <si>
    <t>Implied upside</t>
  </si>
  <si>
    <t>Value per share (EUR)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</si>
  <si>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</si>
  <si>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(EUR m, except shares)</t>
  </si>
  <si>
    <t>What the model was built from. "derived" means the figure was not reported and was computed - the note says how.</t>
  </si>
  <si>
    <t>Fiscal year end</t>
  </si>
  <si>
    <t>2024-09-30</t>
  </si>
  <si>
    <t>2023-09-30</t>
  </si>
  <si>
    <t>2022-09-30</t>
  </si>
  <si>
    <t>2021-09-30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</si>
  <si>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</si>
  <si>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</si>
  <si>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</si>
  <si>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</si>
  <si>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</si>
  <si>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</si>
  <si>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</si>
  <si>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</si>
  <si>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</si>
  <si>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</si>
  <si>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</si>
  <si>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</si>
  <si>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</si>
  <si>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</si>
  <si>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</si>
  <si>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Reported capital expenditure averages just 0.35% of revenue, which is too low to be the company's real investment - property trusts and similar structures invest through lines that are not reported as capex. Capex has been set to 1.19% of revenue so the forecast is not handed free growth. Override it if the reported figure is right.</t>
  </si>
  <si>
    <t>Note: Risk-free rate is an assumption: USD assumption - no free live source available for this market.</t>
  </si>
  <si>
    <t>Data: Yahoo Finance. Risk-free rate: USD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</si>
</sst>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0.06280415361251701</v>
      </c>
    </row>
    <row r="7" spans="1:2" x14ac:dyDescent="0.25">
      <c r="A7" t="s">
        <v>5</v>
      </c>
      <c r="B7" s="6">
        <v>0.02291600038060184</v>
      </c>
    </row>
    <row r="8" spans="1:2" x14ac:dyDescent="0.25">
      <c r="A8" t="s">
        <v>6</v>
      </c>
      <c r="B8" s="6">
        <v>0.25</v>
      </c>
    </row>
    <row r="9" spans="1:2" x14ac:dyDescent="0.25">
      <c r="A9" t="s">
        <v>7</v>
      </c>
      <c r="B9" s="6">
        <v>0.011902615361523606</v>
      </c>
    </row>
    <row r="10" spans="1:2" x14ac:dyDescent="0.25">
      <c r="A10" t="s">
        <v>8</v>
      </c>
      <c r="B10" s="6">
        <v>0.011902615361523606</v>
      </c>
    </row>
    <row r="11" spans="1:2" x14ac:dyDescent="0.25">
      <c r="A11" t="s">
        <v>9</v>
      </c>
      <c r="B11" s="6">
        <v>0.1355455498034008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9.849434524386247</v>
      </c>
    </row>
    <row r="14" spans="1:3" x14ac:dyDescent="0.25">
      <c r="A14" t="s">
        <v>12</v>
      </c>
      <c r="B14" s="6">
        <v>0.344176178887503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0.042</v>
      </c>
      <c r="C17" s="8" t="s">
        <v>16</v>
      </c>
    </row>
    <row r="18" spans="1:2" x14ac:dyDescent="0.25">
      <c r="A18" t="s">
        <v>17</v>
      </c>
      <c r="B18" s="6">
        <v>0.065</v>
      </c>
    </row>
    <row r="19" spans="1:3" x14ac:dyDescent="0.25">
      <c r="A19" t="s">
        <v>18</v>
      </c>
      <c r="B19" s="9">
        <v>0.62279</v>
      </c>
      <c r="C19" s="8" t="s">
        <v>19</v>
      </c>
    </row>
    <row r="20" spans="1:2" x14ac:dyDescent="0.25">
      <c r="A20" t="s">
        <v>20</v>
      </c>
      <c r="B20" s="10">
        <f>B17+B19*B18</f>
        <v>0.08248135000000001</v>
      </c>
    </row>
    <row r="21" spans="1:3" x14ac:dyDescent="0.25">
      <c r="A21" t="s">
        <v>21</v>
      </c>
      <c r="B21" s="6">
        <v>0.042</v>
      </c>
      <c r="C21" s="8" t="s">
        <v>22</v>
      </c>
    </row>
    <row r="22" spans="1:2" x14ac:dyDescent="0.25">
      <c r="A22" t="s">
        <v>23</v>
      </c>
      <c r="B22" s="11">
        <v>4670585344</v>
      </c>
    </row>
    <row r="23" spans="1:2" x14ac:dyDescent="0.25">
      <c r="A23" t="s">
        <v>24</v>
      </c>
      <c r="B23" s="11">
        <v>276439000</v>
      </c>
    </row>
    <row r="24" spans="1:2" x14ac:dyDescent="0.25">
      <c r="A24" t="s">
        <v>25</v>
      </c>
      <c r="B24" s="10">
        <f>B22/(B22+B23)</f>
        <v>0.944120145611315</v>
      </c>
    </row>
    <row r="25" spans="1:2" x14ac:dyDescent="0.25">
      <c r="A25" t="s">
        <v>26</v>
      </c>
      <c r="B25" s="10">
        <f>1-B24</f>
        <v>0.055879854388685035</v>
      </c>
    </row>
    <row r="26" spans="1:2" x14ac:dyDescent="0.25">
      <c r="A26" t="s">
        <v>27</v>
      </c>
      <c r="B26" s="12">
        <f>B24*B20+B25*B21*(1-B8)</f>
        <v>0.07963251958546141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12985534000</v>
      </c>
      <c r="C29" s="8" t="s">
        <v>30</v>
      </c>
    </row>
    <row r="30" spans="1:2" x14ac:dyDescent="0.25">
      <c r="A30" t="s">
        <v>31</v>
      </c>
      <c r="B30" s="11">
        <v>107267000</v>
      </c>
    </row>
    <row r="31" spans="1:2" x14ac:dyDescent="0.25">
      <c r="A31" t="s">
        <v>32</v>
      </c>
      <c r="B31" s="13">
        <v>131938000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0.06280415361251701</v>
      </c>
      <c r="C5" s="10">
        <f>Assumptions!B6</f>
        <v>0.06280415361251701</v>
      </c>
      <c r="D5" s="10">
        <f>Assumptions!B6</f>
        <v>0.06280415361251701</v>
      </c>
      <c r="E5" s="10">
        <f>Assumptions!B6</f>
        <v>0.06280415361251701</v>
      </c>
      <c r="F5" s="10">
        <f>Assumptions!B6</f>
        <v>0.06280415361251701</v>
      </c>
    </row>
    <row r="6" spans="1:6" x14ac:dyDescent="0.25">
      <c r="A6" t="s">
        <v>43</v>
      </c>
      <c r="B6" s="18">
        <f>Assumptions!B29*(1+B5)</f>
        <v>13801079472.076563</v>
      </c>
      <c r="C6" s="18">
        <f>B6*(1+C5)</f>
        <v>14667844587.259415</v>
      </c>
      <c r="D6" s="18">
        <f>C6*(1+D5)</f>
        <v>15589046151.882181</v>
      </c>
      <c r="E6" s="18">
        <f>D6*(1+E5)</f>
        <v>16568103001.077606</v>
      </c>
      <c r="F6" s="18">
        <f>E6*(1+F5)</f>
        <v>17608648687.025288</v>
      </c>
    </row>
    <row r="7" spans="1:6" x14ac:dyDescent="0.25">
      <c r="A7" t="s">
        <v>5</v>
      </c>
      <c r="B7" s="10">
        <f>Assumptions!B7</f>
        <v>0.02291600038060184</v>
      </c>
      <c r="C7" s="10">
        <f>Assumptions!B7</f>
        <v>0.02291600038060184</v>
      </c>
      <c r="D7" s="10">
        <f>Assumptions!B7</f>
        <v>0.02291600038060184</v>
      </c>
      <c r="E7" s="10">
        <f>Assumptions!B7</f>
        <v>0.02291600038060184</v>
      </c>
      <c r="F7" s="10">
        <f>Assumptions!B7</f>
        <v>0.02291600038060184</v>
      </c>
    </row>
    <row r="8" spans="1:6" x14ac:dyDescent="0.25">
      <c r="A8" t="s">
        <v>44</v>
      </c>
      <c r="B8" s="18">
        <f>B6*B7</f>
        <v>316265542.43482274</v>
      </c>
      <c r="C8" s="18">
        <f>C6*C7</f>
        <v>336128332.1442454</v>
      </c>
      <c r="D8" s="18">
        <f>D6*D7</f>
        <v>357238587.5497517</v>
      </c>
      <c r="E8" s="18">
        <f>E6*E7</f>
        <v>379674654.67854494</v>
      </c>
      <c r="F8" s="18">
        <f>F6*F7</f>
        <v>403519800.0137556</v>
      </c>
    </row>
    <row r="9" spans="1:6" x14ac:dyDescent="0.25">
      <c r="A9" t="s">
        <v>45</v>
      </c>
      <c r="B9" s="18">
        <f>B8*(1-Assumptions!B8)</f>
        <v>237199156.82611704</v>
      </c>
      <c r="C9" s="18">
        <f>C8*(1-Assumptions!B8)</f>
        <v>252096249.10818404</v>
      </c>
      <c r="D9" s="18">
        <f>D8*(1-Assumptions!B8)</f>
        <v>267928940.66231376</v>
      </c>
      <c r="E9" s="18">
        <f>E8*(1-Assumptions!B8)</f>
        <v>284755991.0089087</v>
      </c>
      <c r="F9" s="18">
        <f>F8*(1-Assumptions!B8)</f>
        <v>302639850.0103167</v>
      </c>
    </row>
    <row r="10" spans="1:6" x14ac:dyDescent="0.25">
      <c r="A10" t="s">
        <v>46</v>
      </c>
      <c r="B10" s="18">
        <f>B6*Assumptions!B9</f>
        <v>164268940.5299466</v>
      </c>
      <c r="C10" s="18">
        <f>C6*Assumptions!B9</f>
        <v>174585712.3047548</v>
      </c>
      <c r="D10" s="18">
        <f>D6*Assumptions!B9</f>
        <v>185550420.1988933</v>
      </c>
      <c r="E10" s="18">
        <f>E6*Assumptions!B9</f>
        <v>197203757.2919317</v>
      </c>
      <c r="F10" s="18">
        <f>F6*Assumptions!B9</f>
        <v>209588972.35785967</v>
      </c>
    </row>
    <row r="11" spans="1:6" x14ac:dyDescent="0.25">
      <c r="A11" t="s">
        <v>47</v>
      </c>
      <c r="B11" s="18">
        <f>-B6*Assumptions!B10</f>
        <v>-164268940.5299466</v>
      </c>
      <c r="C11" s="18">
        <f>-C6*Assumptions!B10</f>
        <v>-174585712.3047548</v>
      </c>
      <c r="D11" s="18">
        <f>-D6*Assumptions!B10</f>
        <v>-185550420.1988933</v>
      </c>
      <c r="E11" s="18">
        <f>-E6*Assumptions!B10</f>
        <v>-197203757.2919317</v>
      </c>
      <c r="F11" s="18">
        <f>-F6*Assumptions!B10</f>
        <v>-209588972.35785967</v>
      </c>
    </row>
    <row r="12" spans="1:6" x14ac:dyDescent="0.25">
      <c r="A12" t="s">
        <v>48</v>
      </c>
      <c r="B12" s="18">
        <f>-(B6-Assumptions!B29)*Assumptions!B11</f>
        <v>-110543559.40229177</v>
      </c>
      <c r="C12" s="18">
        <f>-(C6-B6)*Assumptions!B11</f>
        <v>-117486154.08786768</v>
      </c>
      <c r="D12" s="18">
        <f>-(D6-C6)*Assumptions!B11</f>
        <v>-124864772.55654594</v>
      </c>
      <c r="E12" s="18">
        <f>-(E6-D6)*Assumptions!B11</f>
        <v>-132706798.91297916</v>
      </c>
      <c r="F12" s="18">
        <f>-(F6-E6)*Assumptions!B11</f>
        <v>-141041337.0973353</v>
      </c>
    </row>
    <row r="13" spans="1:6" x14ac:dyDescent="0.25">
      <c r="A13" s="19" t="s">
        <v>49</v>
      </c>
      <c r="B13" s="20">
        <f>B9+B10+B11+B12</f>
        <v>126655597.42382523</v>
      </c>
      <c r="C13" s="20">
        <f>C9+C10+C11+C12</f>
        <v>134610095.02031636</v>
      </c>
      <c r="D13" s="20">
        <f>D9+D10+D11+D12</f>
        <v>143064168.10576782</v>
      </c>
      <c r="E13" s="20">
        <f>E9+E10+E11+E12</f>
        <v>152049192.09592953</v>
      </c>
      <c r="F13" s="20">
        <f>F9+F10+F11+F12</f>
        <v>161598512.91298142</v>
      </c>
    </row>
    <row r="14" spans="1:6" x14ac:dyDescent="0.25">
      <c r="A14" t="s">
        <v>50</v>
      </c>
      <c r="B14" s="21">
        <f>1/(1+Assumptions!$B$26)^(1-0.5*Assumptions!$B$32)</f>
        <v>0.9624141979356275</v>
      </c>
      <c r="C14" s="21">
        <f>1/(1+Assumptions!$B$26)^(2-0.5*Assumptions!$B$32)</f>
        <v>0.8914275741760341</v>
      </c>
      <c r="D14" s="21">
        <f>1/(1+Assumptions!$B$26)^(3-0.5*Assumptions!$B$32)</f>
        <v>0.8256768465239532</v>
      </c>
      <c r="E14" s="21">
        <f>1/(1+Assumptions!$B$26)^(4-0.5*Assumptions!$B$32)</f>
        <v>0.764775820981182</v>
      </c>
      <c r="F14" s="21">
        <f>1/(1+Assumptions!$B$26)^(5-0.5*Assumptions!$B$32)</f>
        <v>0.7083667887984954</v>
      </c>
    </row>
    <row r="15" spans="1:6" x14ac:dyDescent="0.25">
      <c r="A15" s="19" t="s">
        <v>51</v>
      </c>
      <c r="B15" s="20">
        <f>B13*B14</f>
        <v>121895145.2087085</v>
      </c>
      <c r="C15" s="20">
        <f>C13*C14</f>
        <v>119995150.46356606</v>
      </c>
      <c r="D15" s="20">
        <f>D13*D14</f>
        <v>118124771.1721431</v>
      </c>
      <c r="E15" s="20">
        <f>E13*E14</f>
        <v>116283545.71468996</v>
      </c>
      <c r="F15" s="20">
        <f>F13*F14</f>
        <v>114471019.66678083</v>
      </c>
    </row>
    <row r="17" spans="1:2" x14ac:dyDescent="0.25">
      <c r="A17" s="22" t="s">
        <v>52</v>
      </c>
      <c r="B17" s="23">
        <f>SUM(B15:F15)</f>
        <v>590769632.2258885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161598512.91298142</v>
      </c>
    </row>
    <row r="5" spans="1:2" x14ac:dyDescent="0.25">
      <c r="A5" t="s">
        <v>56</v>
      </c>
      <c r="B5" s="18">
        <f>IF(Assumptions!$B$33=0,B4,B4-Forecast!F11-Forecast!F10-Forecast!F12)</f>
        <v>302639850.0103167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0.07263721760410231</v>
      </c>
    </row>
    <row r="7" spans="1:2" x14ac:dyDescent="0.25">
      <c r="A7" t="s">
        <v>58</v>
      </c>
      <c r="B7" s="18">
        <f>-MAX(Forecast!F9,0)*B6</f>
        <v>-21982916.640872262</v>
      </c>
    </row>
    <row r="8" spans="1:2" x14ac:dyDescent="0.25">
      <c r="A8" t="s">
        <v>59</v>
      </c>
      <c r="B8" s="18">
        <f>IF(OR(Assumptions!$B$33=0,Assumptions!B12&lt;=0),B5,MAX(B5+B7,0))</f>
        <v>280656933.3694445</v>
      </c>
    </row>
    <row r="9" spans="1:2" x14ac:dyDescent="0.25">
      <c r="A9" t="s">
        <v>60</v>
      </c>
      <c r="B9" s="18">
        <f>B8*(1+Assumptions!B12)/(Assumptions!B26-Assumptions!B12)</f>
        <v>5265606618.301292</v>
      </c>
    </row>
    <row r="10" spans="1:2" x14ac:dyDescent="0.25">
      <c r="A10" t="s">
        <v>61</v>
      </c>
      <c r="B10" s="18">
        <f>B9/(1+Assumptions!B26)^(5-0.5*Assumptions!B32)</f>
        <v>3729980851.282191</v>
      </c>
    </row>
    <row r="11" spans="1:2" x14ac:dyDescent="0.25">
      <c r="A11" t="s">
        <v>62</v>
      </c>
      <c r="B11" s="18">
        <f>Forecast!B17+B10</f>
        <v>4320750483.50808</v>
      </c>
    </row>
    <row r="12" spans="1:2" x14ac:dyDescent="0.25">
      <c r="A12" t="s">
        <v>63</v>
      </c>
      <c r="B12" s="18">
        <f>-Assumptions!B30</f>
        <v>-107267000</v>
      </c>
    </row>
    <row r="13" spans="1:2" x14ac:dyDescent="0.25">
      <c r="A13" t="s">
        <v>64</v>
      </c>
      <c r="B13" s="18">
        <f>B11+B12</f>
        <v>4213483483.5080795</v>
      </c>
    </row>
    <row r="14" spans="1:2" x14ac:dyDescent="0.25">
      <c r="A14" s="19" t="s">
        <v>65</v>
      </c>
      <c r="B14" s="24">
        <f>B13/Assumptions!B31</f>
        <v>31.935329347936754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613108772.3716153</v>
      </c>
    </row>
    <row r="18" spans="1:2" x14ac:dyDescent="0.25">
      <c r="A18" t="s">
        <v>60</v>
      </c>
      <c r="B18" s="18">
        <f>B17*Assumptions!B13</f>
        <v>6038774709.801056</v>
      </c>
    </row>
    <row r="19" spans="1:2" x14ac:dyDescent="0.25">
      <c r="A19" t="s">
        <v>61</v>
      </c>
      <c r="B19" s="18">
        <f>B18/(1+Assumptions!B26)^(5-0.5*Assumptions!B32)</f>
        <v>4277667449.4593396</v>
      </c>
    </row>
    <row r="20" spans="1:2" x14ac:dyDescent="0.25">
      <c r="A20" t="s">
        <v>62</v>
      </c>
      <c r="B20" s="18">
        <f>Forecast!B17+B19</f>
        <v>4868437081.685228</v>
      </c>
    </row>
    <row r="21" spans="1:2" x14ac:dyDescent="0.25">
      <c r="A21" t="s">
        <v>63</v>
      </c>
      <c r="B21" s="18">
        <f>-Assumptions!B30</f>
        <v>-107267000</v>
      </c>
    </row>
    <row r="22" spans="1:2" x14ac:dyDescent="0.25">
      <c r="A22" t="s">
        <v>64</v>
      </c>
      <c r="B22" s="18">
        <f>B20+B21</f>
        <v>4761170081.685228</v>
      </c>
    </row>
    <row r="23" spans="1:2" x14ac:dyDescent="0.25">
      <c r="A23" s="19" t="s">
        <v>65</v>
      </c>
      <c r="B23" s="25">
        <f>B22/Assumptions!B31</f>
        <v>36.08641999791742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35.34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31.935329347936754</v>
      </c>
    </row>
    <row r="29" spans="1:2" x14ac:dyDescent="0.25">
      <c r="A29" s="19" t="s">
        <v>73</v>
      </c>
      <c r="B29" s="12">
        <f>B28/B26-1</f>
        <v>-0.09634042592142755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0.059633</v>
      </c>
      <c r="B5" s="31">
        <v>42.320503511877455</v>
      </c>
      <c r="C5" s="31">
        <v>46.722776031664004</v>
      </c>
      <c r="D5" s="31">
        <v>52.3887552564656</v>
      </c>
      <c r="E5" s="31">
        <v>59.958119942237595</v>
      </c>
      <c r="F5" s="31">
        <v>70.58991616191287</v>
      </c>
    </row>
    <row r="6" spans="1:6" x14ac:dyDescent="0.25">
      <c r="A6" s="30">
        <v>0.069633</v>
      </c>
      <c r="B6" s="31">
        <v>33.875419011101755</v>
      </c>
      <c r="C6" s="31">
        <v>36.56571771560414</v>
      </c>
      <c r="D6" s="31">
        <v>39.8532615812642</v>
      </c>
      <c r="E6" s="31">
        <v>43.96409146840954</v>
      </c>
      <c r="F6" s="31">
        <v>49.254783195545066</v>
      </c>
    </row>
    <row r="7" spans="1:6" x14ac:dyDescent="0.25">
      <c r="A7" s="30">
        <v>0.079633</v>
      </c>
      <c r="B7" s="31">
        <v>28.069280435196433</v>
      </c>
      <c r="C7" s="31">
        <v>29.842065273025007</v>
      </c>
      <c r="D7" s="32">
        <v>31.935019222360268</v>
      </c>
      <c r="E7" s="31">
        <v>34.44490324209247</v>
      </c>
      <c r="F7" s="31">
        <v>37.5118367742478</v>
      </c>
    </row>
    <row r="8" spans="1:6" x14ac:dyDescent="0.25">
      <c r="A8" s="30">
        <v>0.089633</v>
      </c>
      <c r="B8" s="31">
        <v>23.840020619336602</v>
      </c>
      <c r="C8" s="31">
        <v>25.071259046900426</v>
      </c>
      <c r="D8" s="31">
        <v>26.489490620882975</v>
      </c>
      <c r="E8" s="31">
        <v>28.14175133136156</v>
      </c>
      <c r="F8" s="31">
        <v>30.09229606178466</v>
      </c>
    </row>
    <row r="9" spans="1:6" x14ac:dyDescent="0.25">
      <c r="A9" s="30">
        <v>0.099633</v>
      </c>
      <c r="B9" s="31">
        <v>20.62761224473701</v>
      </c>
      <c r="C9" s="31">
        <v>21.516509259585053</v>
      </c>
      <c r="D9" s="31">
        <v>22.521596629208965</v>
      </c>
      <c r="E9" s="31">
        <v>23.667903511071998</v>
      </c>
      <c r="F9" s="31">
        <v>24.98820407136766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12985534000</v>
      </c>
      <c r="C5" s="18">
        <v>12427536000</v>
      </c>
      <c r="D5" s="18">
        <v>11463646000</v>
      </c>
      <c r="E5" s="18">
        <v>10816832000</v>
      </c>
      <c r="F5" s="8" t="s">
        <v>84</v>
      </c>
    </row>
    <row r="6" spans="1:6" x14ac:dyDescent="0.25">
      <c r="A6" t="s">
        <v>44</v>
      </c>
      <c r="B6" s="18">
        <v>319622000</v>
      </c>
      <c r="C6" s="18">
        <v>291350000</v>
      </c>
      <c r="D6" s="18">
        <v>249737000</v>
      </c>
      <c r="E6" s="18">
        <v>236037000</v>
      </c>
      <c r="F6" s="8" t="s">
        <v>85</v>
      </c>
    </row>
    <row r="7" spans="1:6" x14ac:dyDescent="0.25">
      <c r="A7" t="s">
        <v>86</v>
      </c>
      <c r="B7" s="18">
        <v>165467000</v>
      </c>
      <c r="C7" s="18">
        <v>157653000</v>
      </c>
      <c r="D7" s="18">
        <v>123019000</v>
      </c>
      <c r="E7" s="18">
        <v>123864000</v>
      </c>
      <c r="F7" s="8" t="s">
        <v>87</v>
      </c>
    </row>
    <row r="8" spans="1:6" x14ac:dyDescent="0.25">
      <c r="A8" t="s">
        <v>88</v>
      </c>
      <c r="B8" s="18">
        <v>47085000</v>
      </c>
      <c r="C8" s="18">
        <v>44182000</v>
      </c>
      <c r="D8" s="18">
        <v>36765000</v>
      </c>
      <c r="E8" s="18">
        <v>40173000</v>
      </c>
      <c r="F8" s="8" t="s">
        <v>89</v>
      </c>
    </row>
    <row r="9" spans="1:6" x14ac:dyDescent="0.25">
      <c r="A9" t="s">
        <v>90</v>
      </c>
      <c r="B9" s="18">
        <v>75809000</v>
      </c>
      <c r="C9" s="18">
        <v>130651000</v>
      </c>
      <c r="D9" s="18">
        <v>-274224000</v>
      </c>
      <c r="E9" s="18">
        <v>608118000</v>
      </c>
      <c r="F9" s="8" t="s">
        <v>91</v>
      </c>
    </row>
    <row r="10" spans="1:6" x14ac:dyDescent="0.25">
      <c r="A10" t="s">
        <v>92</v>
      </c>
      <c r="B10" s="18">
        <v>276439000</v>
      </c>
      <c r="C10" s="18">
        <v>255426000</v>
      </c>
      <c r="D10" s="18">
        <v>135796000</v>
      </c>
      <c r="E10" s="18">
        <v>166597000</v>
      </c>
      <c r="F10" s="8" t="s">
        <v>93</v>
      </c>
    </row>
    <row r="11" spans="1:6" x14ac:dyDescent="0.25">
      <c r="A11" t="s">
        <v>94</v>
      </c>
      <c r="B11" s="18">
        <v>169172000</v>
      </c>
      <c r="C11" s="18">
        <v>192960000</v>
      </c>
      <c r="D11" s="18">
        <v>218733000</v>
      </c>
      <c r="E11" s="18">
        <v>171760000</v>
      </c>
      <c r="F11" s="8" t="s">
        <v>95</v>
      </c>
    </row>
    <row r="12" spans="1:6" x14ac:dyDescent="0.25">
      <c r="A12" t="s">
        <v>32</v>
      </c>
      <c r="B12" s="34">
        <v>131938000</v>
      </c>
      <c r="C12" s="34">
        <v>131841000</v>
      </c>
      <c r="D12" s="34">
        <v>131855000</v>
      </c>
      <c r="E12" s="34">
        <v>131982000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2026-09-19T00:06:16Z</dcterms:modified>
</cp:coreProperties>
</file>