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<sst xmlns="http://schemas.openxmlformats.org/spreadsheetml/2006/main" count="114" uniqueCount="102">
  <si>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Lonza Group AG (LONN.SW)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</si>
  <si>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</si>
  <si>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</si>
  <si>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</si>
  <si>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</si>
  <si>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</si>
  <si>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</si>
  <si>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</si>
  <si>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</si>
  <si>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</si>
  <si>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</si>
  <si>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</si>
  <si>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</si>
  <si>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</si>
  <si>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</si>
  <si>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</si>
  <si>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</si>
  <si>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</si>
  <si>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</si>
  <si>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</si>
  <si>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</si>
  <si>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</si>
  <si>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</si>
  <si>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</si>
  <si>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</si>
  <si>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</si>
  <si>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</si>
  <si>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</si>
  <si>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</si>
  <si>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</si>
  <si>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</si>
  <si>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</si>
  <si>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</si>
  <si>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</si>
  <si>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</si>
  <si>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</si>
  <si>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</si>
  <si>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</si>
  <si>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</si>
  <si>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</si>
  <si>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</si>
  <si>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</si>
  <si>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</si>
  <si>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</si>
  <si>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</si>
  <si>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</si>
  <si>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</si>
  <si>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</si>
  <si>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</si>
  <si>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</si>
  <si>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</si>
  <si>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</si>
  <si>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</si>
  <si>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</si>
  <si>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</si>
  <si>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</si>
  <si>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</si>
  <si>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</si>
  <si>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</si>
  <si>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</si>
  <si>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</si>
  <si>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</si>
  <si>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</si>
  <si>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</si>
  <si>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</si>
  <si>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</si>
  <si>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</si>
  <si>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</si>
  <si>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</si>
  <si>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</si>
  <si>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</si>
  <si>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</si>
  <si>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</si>
  <si>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</si>
  <si>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</si>
  <si>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</si>
  <si>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</si>
  <si>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</si>
  <si>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</si>
  <si>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</si>
  <si>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</si>
  <si>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</si>
  <si>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</si>
  <si>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</si>
  <si>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</si>
  <si>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</si>
  <si>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</si>
  <si>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</si>
  <si>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</si>
  <si>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</si>
  <si>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</si>
  <si>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</si>
  <si>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</si>
  <si>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</si>
  <si>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</si>
  <si>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</si>
  <si>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</si>
  <si>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</si>
  <si>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</si>
  <si>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25.5% of revenue against depreciation of 10.8%.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</si>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</sst>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0.01623300156343599</v>
      </c>
    </row>
    <row r="7" spans="1:2" x14ac:dyDescent="0.25">
      <c r="A7" t="s">
        <v>5</v>
      </c>
      <c r="B7" s="6">
        <v>0.17909090698264118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0.10769366432524</v>
      </c>
    </row>
    <row r="10" spans="1:2" x14ac:dyDescent="0.25">
      <c r="A10" t="s">
        <v>8</v>
      </c>
      <c r="B10" s="6">
        <v>0.2550084336041797</v>
      </c>
    </row>
    <row r="11" spans="1:2" x14ac:dyDescent="0.25">
      <c r="A11" t="s">
        <v>9</v>
      </c>
      <c r="B11" s="6">
        <v>-0.0020242914979757085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19.312765140488253</v>
      </c>
    </row>
    <row r="14" spans="1:3" x14ac:dyDescent="0.25">
      <c r="A14" t="s">
        <v>12</v>
      </c>
      <c r="B14" s="6">
        <v>0.0752351294377587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0.8941399999999999</v>
      </c>
      <c r="C19" s="8" t="s">
        <v>19</v>
      </c>
    </row>
    <row r="20" spans="1:2" x14ac:dyDescent="0.25">
      <c r="A20" t="s">
        <v>20</v>
      </c>
      <c r="B20" s="10">
        <f>B17+B19*B18</f>
        <v>0.054177699999999995</v>
      </c>
    </row>
    <row r="21" spans="1:3" x14ac:dyDescent="0.25">
      <c r="A21" t="s">
        <v>21</v>
      </c>
      <c r="B21" s="6">
        <v>0.033747412008281574</v>
      </c>
      <c r="C21" s="8" t="s">
        <v>22</v>
      </c>
    </row>
    <row r="22" spans="1:2" x14ac:dyDescent="0.25">
      <c r="A22" t="s">
        <v>23</v>
      </c>
      <c r="B22" s="11">
        <v>38107013120</v>
      </c>
    </row>
    <row r="23" spans="1:2" x14ac:dyDescent="0.25">
      <c r="A23" t="s">
        <v>24</v>
      </c>
      <c r="B23" s="11">
        <v>4540000000</v>
      </c>
    </row>
    <row r="24" spans="1:2" x14ac:dyDescent="0.25">
      <c r="A24" t="s">
        <v>25</v>
      </c>
      <c r="B24" s="10">
        <f>B22/(B22+B23)</f>
        <v>0.8935447135013801</v>
      </c>
    </row>
    <row r="25" spans="1:2" x14ac:dyDescent="0.25">
      <c r="A25" t="s">
        <v>26</v>
      </c>
      <c r="B25" s="10">
        <f>1-B24</f>
        <v>0.1064552864986199</v>
      </c>
    </row>
    <row r="26" spans="1:2" x14ac:dyDescent="0.25">
      <c r="A26" t="s">
        <v>27</v>
      </c>
      <c r="B26" s="12">
        <f>B24*B20+B25*B21*(1-B8)</f>
        <v>0.05146389927650301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6531000000</v>
      </c>
      <c r="C29" s="8" t="s">
        <v>30</v>
      </c>
    </row>
    <row r="30" spans="1:2" x14ac:dyDescent="0.25">
      <c r="A30" t="s">
        <v>31</v>
      </c>
      <c r="B30" s="11">
        <v>3821000000</v>
      </c>
    </row>
    <row r="31" spans="1:2" x14ac:dyDescent="0.25">
      <c r="A31" t="s">
        <v>32</v>
      </c>
      <c r="B31" s="13">
        <v>70234892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0.01623300156343599</v>
      </c>
      <c r="C5" s="10">
        <f>Assumptions!B6</f>
        <v>0.01623300156343599</v>
      </c>
      <c r="D5" s="10">
        <f>Assumptions!B6</f>
        <v>0.01623300156343599</v>
      </c>
      <c r="E5" s="10">
        <f>Assumptions!B6</f>
        <v>0.01623300156343599</v>
      </c>
      <c r="F5" s="10">
        <f>Assumptions!B6</f>
        <v>0.01623300156343599</v>
      </c>
    </row>
    <row r="6" spans="1:6" x14ac:dyDescent="0.25">
      <c r="A6" t="s">
        <v>43</v>
      </c>
      <c r="B6" s="18">
        <f>Assumptions!B29*(1+B5)</f>
        <v>6637017733.2108</v>
      </c>
      <c r="C6" s="18">
        <f>B6*(1+C5)</f>
        <v>6744756452.450563</v>
      </c>
      <c r="D6" s="18">
        <f>C6*(1+D5)</f>
        <v>6854244094.488189</v>
      </c>
      <c r="E6" s="18">
        <f>D6*(1+E5)</f>
        <v>6965509049.590187</v>
      </c>
      <c r="F6" s="18">
        <f>E6*(1+F5)</f>
        <v>7078580168.882312</v>
      </c>
    </row>
    <row r="7" spans="1:6" x14ac:dyDescent="0.25">
      <c r="A7" t="s">
        <v>5</v>
      </c>
      <c r="B7" s="10">
        <f>Assumptions!B7</f>
        <v>0.17909090698264118</v>
      </c>
      <c r="C7" s="10">
        <f>Assumptions!B7</f>
        <v>0.17909090698264118</v>
      </c>
      <c r="D7" s="10">
        <f>Assumptions!B7</f>
        <v>0.17909090698264118</v>
      </c>
      <c r="E7" s="10">
        <f>Assumptions!B7</f>
        <v>0.17909090698264118</v>
      </c>
      <c r="F7" s="10">
        <f>Assumptions!B7</f>
        <v>0.17909090698264118</v>
      </c>
    </row>
    <row r="8" spans="1:6" x14ac:dyDescent="0.25">
      <c r="A8" t="s">
        <v>44</v>
      </c>
      <c r="B8" s="18">
        <f>B6*B7</f>
        <v>1188629525.5005956</v>
      </c>
      <c r="C8" s="18">
        <f>C6*C7</f>
        <v>1207924550.4463928</v>
      </c>
      <c r="D8" s="18">
        <f>D6*D7</f>
        <v>1227532791.5623019</v>
      </c>
      <c r="E8" s="18">
        <f>E6*E7</f>
        <v>1247459333.2869017</v>
      </c>
      <c r="F8" s="18">
        <f>F6*F7</f>
        <v>1267709342.5944707</v>
      </c>
    </row>
    <row r="9" spans="1:6" x14ac:dyDescent="0.25">
      <c r="A9" t="s">
        <v>45</v>
      </c>
      <c r="B9" s="18">
        <f>B8*(1-Assumptions!B8)</f>
        <v>1010335096.6755062</v>
      </c>
      <c r="C9" s="18">
        <f>C8*(1-Assumptions!B8)</f>
        <v>1026735867.8794339</v>
      </c>
      <c r="D9" s="18">
        <f>D8*(1-Assumptions!B8)</f>
        <v>1043402872.8279566</v>
      </c>
      <c r="E9" s="18">
        <f>E8*(1-Assumptions!B8)</f>
        <v>1060340433.2938664</v>
      </c>
      <c r="F9" s="18">
        <f>F8*(1-Assumptions!B8)</f>
        <v>1077552941.2053</v>
      </c>
    </row>
    <row r="10" spans="1:6" x14ac:dyDescent="0.25">
      <c r="A10" t="s">
        <v>46</v>
      </c>
      <c r="B10" s="18">
        <f>B6*Assumptions!B9</f>
        <v>714764759.8810692</v>
      </c>
      <c r="C10" s="18">
        <f>C6*Assumptions!B9</f>
        <v>726367537.3457075</v>
      </c>
      <c r="D10" s="18">
        <f>D6*Assumptions!B9</f>
        <v>738158662.7150695</v>
      </c>
      <c r="E10" s="18">
        <f>E6*Assumptions!B9</f>
        <v>750141193.4409871</v>
      </c>
      <c r="F10" s="18">
        <f>F6*Assumptions!B9</f>
        <v>762318236.6069124</v>
      </c>
    </row>
    <row r="11" spans="1:6" x14ac:dyDescent="0.25">
      <c r="A11" t="s">
        <v>47</v>
      </c>
      <c r="B11" s="18">
        <f>-B6*Assumptions!B10</f>
        <v>-1692495495.9492495</v>
      </c>
      <c r="C11" s="18">
        <f>-C6*Assumptions!B10</f>
        <v>-1719969777.981102</v>
      </c>
      <c r="D11" s="18">
        <f>-D6*Assumptions!B10</f>
        <v>-1747890050.076132</v>
      </c>
      <c r="E11" s="18">
        <f>-E6*Assumptions!B10</f>
        <v>-1776263551.991732</v>
      </c>
      <c r="F11" s="18">
        <f>-F6*Assumptions!B10</f>
        <v>-1805097641.0082881</v>
      </c>
    </row>
    <row r="12" spans="1:6" x14ac:dyDescent="0.25">
      <c r="A12" t="s">
        <v>48</v>
      </c>
      <c r="B12" s="18">
        <f>-(B6-Assumptions!B29)*Assumptions!B11</f>
        <v>214610.7959732797</v>
      </c>
      <c r="C12" s="18">
        <f>-(C6-B6)*Assumptions!B11</f>
        <v>218094.57335984465</v>
      </c>
      <c r="D12" s="18">
        <f>-(D6-C6)*Assumptions!B11</f>
        <v>221634.9029101727</v>
      </c>
      <c r="E12" s="18">
        <f>-(E6-D6)*Assumptions!B11</f>
        <v>225232.70263562415</v>
      </c>
      <c r="F12" s="18">
        <f>-(F6-E6)*Assumptions!B11</f>
        <v>228888.90544964524</v>
      </c>
    </row>
    <row r="13" spans="1:6" x14ac:dyDescent="0.25">
      <c r="A13" s="19" t="s">
        <v>49</v>
      </c>
      <c r="B13" s="20">
        <f>B9+B10+B11+B12</f>
        <v>32818971.40329907</v>
      </c>
      <c r="C13" s="20">
        <f>C9+C10+C11+C12</f>
        <v>33351721.81739938</v>
      </c>
      <c r="D13" s="20">
        <f>D9+D10+D11+D12</f>
        <v>33893120.369804084</v>
      </c>
      <c r="E13" s="20">
        <f>E9+E10+E11+E12</f>
        <v>34443307.44575725</v>
      </c>
      <c r="F13" s="20">
        <f>F9+F10+F11+F12</f>
        <v>35002425.709373966</v>
      </c>
    </row>
    <row r="14" spans="1:6" x14ac:dyDescent="0.25">
      <c r="A14" t="s">
        <v>50</v>
      </c>
      <c r="B14" s="21">
        <f>1/(1+Assumptions!$B$26)^(1-0.5*Assumptions!$B$32)</f>
        <v>0.9752204885108032</v>
      </c>
      <c r="C14" s="21">
        <f>1/(1+Assumptions!$B$26)^(2-0.5*Assumptions!$B$32)</f>
        <v>0.9274883228818775</v>
      </c>
      <c r="D14" s="21">
        <f>1/(1+Assumptions!$B$26)^(3-0.5*Assumptions!$B$32)</f>
        <v>0.882092408041844</v>
      </c>
      <c r="E14" s="21">
        <f>1/(1+Assumptions!$B$26)^(4-0.5*Assumptions!$B$32)</f>
        <v>0.8389183961986703</v>
      </c>
      <c r="F14" s="21">
        <f>1/(1+Assumptions!$B$26)^(5-0.5*Assumptions!$B$32)</f>
        <v>0.7978575363128659</v>
      </c>
    </row>
    <row r="15" spans="1:6" x14ac:dyDescent="0.25">
      <c r="A15" s="19" t="s">
        <v>51</v>
      </c>
      <c r="B15" s="20">
        <f>B13*B14</f>
        <v>32005733.324347403</v>
      </c>
      <c r="C15" s="20">
        <f>C13*C14</f>
        <v>30933332.533642676</v>
      </c>
      <c r="D15" s="20">
        <f>D13*D14</f>
        <v>29896864.16305256</v>
      </c>
      <c r="E15" s="20">
        <f>E13*E14</f>
        <v>28895124.242172386</v>
      </c>
      <c r="F15" s="20">
        <f>F13*F14</f>
        <v>27926949.14145523</v>
      </c>
    </row>
    <row r="17" spans="1:2" x14ac:dyDescent="0.25">
      <c r="A17" s="22" t="s">
        <v>52</v>
      </c>
      <c r="B17" s="23">
        <f>SUM(B15:F15)</f>
        <v>149658003.40467027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35002425.709373966</v>
      </c>
    </row>
    <row r="5" spans="1:2" x14ac:dyDescent="0.25">
      <c r="A5" t="s">
        <v>56</v>
      </c>
      <c r="B5" s="18">
        <f>IF(Assumptions!$B$33=0,B4,B4-Forecast!F11-Forecast!F10-Forecast!F12)</f>
        <v>1253757980.193902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0.33229157956965116</v>
      </c>
    </row>
    <row r="7" spans="1:2" x14ac:dyDescent="0.25">
      <c r="A7" t="s">
        <v>58</v>
      </c>
      <c r="B7" s="18">
        <f>-MAX(Forecast!F9,0)*B6</f>
        <v>-416613219.6366871</v>
      </c>
    </row>
    <row r="8" spans="1:2" x14ac:dyDescent="0.25">
      <c r="A8" t="s">
        <v>59</v>
      </c>
      <c r="B8" s="18">
        <f>IF(OR(Assumptions!$B$33=0,Assumptions!B12&lt;=0),B5,MAX(B5+B7,0))</f>
        <v>837144760.557215</v>
      </c>
    </row>
    <row r="9" spans="1:2" x14ac:dyDescent="0.25">
      <c r="A9" t="s">
        <v>60</v>
      </c>
      <c r="B9" s="18">
        <f>B8*(1+Assumptions!B12)/(Assumptions!B26-Assumptions!B12)</f>
        <v>32424298876.206</v>
      </c>
    </row>
    <row r="10" spans="1:2" x14ac:dyDescent="0.25">
      <c r="A10" t="s">
        <v>61</v>
      </c>
      <c r="B10" s="18">
        <f>B9/(1+Assumptions!B26)^(5-0.5*Assumptions!B32)</f>
        <v>25869971218.041748</v>
      </c>
    </row>
    <row r="11" spans="1:2" x14ac:dyDescent="0.25">
      <c r="A11" t="s">
        <v>62</v>
      </c>
      <c r="B11" s="18">
        <f>Forecast!B17+B10</f>
        <v>26019629221.44642</v>
      </c>
    </row>
    <row r="12" spans="1:2" x14ac:dyDescent="0.25">
      <c r="A12" t="s">
        <v>63</v>
      </c>
      <c r="B12" s="18">
        <f>-Assumptions!B30</f>
        <v>-3821000000</v>
      </c>
    </row>
    <row r="13" spans="1:2" x14ac:dyDescent="0.25">
      <c r="A13" t="s">
        <v>64</v>
      </c>
      <c r="B13" s="18">
        <f>B11+B12</f>
        <v>22198629221.44642</v>
      </c>
    </row>
    <row r="14" spans="1:2" x14ac:dyDescent="0.25">
      <c r="A14" s="19" t="s">
        <v>65</v>
      </c>
      <c r="B14" s="24">
        <f>B13/Assumptions!B31</f>
        <v>316.0626946140448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2030027579.201383</v>
      </c>
    </row>
    <row r="18" spans="1:2" x14ac:dyDescent="0.25">
      <c r="A18" t="s">
        <v>60</v>
      </c>
      <c r="B18" s="18">
        <f>B17*Assumptions!B13</f>
        <v>39205445865.83023</v>
      </c>
    </row>
    <row r="19" spans="1:2" x14ac:dyDescent="0.25">
      <c r="A19" t="s">
        <v>61</v>
      </c>
      <c r="B19" s="18">
        <f>B18/(1+Assumptions!B26)^(5-0.5*Assumptions!B32)</f>
        <v>31280360448.558743</v>
      </c>
    </row>
    <row r="20" spans="1:2" x14ac:dyDescent="0.25">
      <c r="A20" t="s">
        <v>62</v>
      </c>
      <c r="B20" s="18">
        <f>Forecast!B17+B19</f>
        <v>31430018451.963413</v>
      </c>
    </row>
    <row r="21" spans="1:2" x14ac:dyDescent="0.25">
      <c r="A21" t="s">
        <v>63</v>
      </c>
      <c r="B21" s="18">
        <f>-Assumptions!B30</f>
        <v>-3821000000</v>
      </c>
    </row>
    <row r="22" spans="1:2" x14ac:dyDescent="0.25">
      <c r="A22" t="s">
        <v>64</v>
      </c>
      <c r="B22" s="18">
        <f>B20+B21</f>
        <v>27609018451.963413</v>
      </c>
    </row>
    <row r="23" spans="1:2" x14ac:dyDescent="0.25">
      <c r="A23" s="19" t="s">
        <v>65</v>
      </c>
      <c r="B23" s="25">
        <f>B22/Assumptions!B31</f>
        <v>393.0954781273589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545.6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316.0626946140448</v>
      </c>
    </row>
    <row r="29" spans="1:2" x14ac:dyDescent="0.25">
      <c r="A29" s="19" t="s">
        <v>73</v>
      </c>
      <c r="B29" s="12">
        <f>B28/B26-1</f>
        <v>-0.4207062048862815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0.031464</v>
      </c>
      <c r="B5" s="31">
        <v>714.268863699805</v>
      </c>
      <c r="C5" s="31">
        <v>962.1530768835715</v>
      </c>
      <c r="D5" s="31">
        <v>1591.9250435690249</v>
      </c>
      <c r="E5" s="31">
        <v>6516.369123404593</v>
      </c>
      <c r="F5" s="31" t="s">
        <v>76</v>
      </c>
    </row>
    <row r="6" spans="1:6" x14ac:dyDescent="0.25">
      <c r="A6" s="30">
        <v>0.041464</v>
      </c>
      <c r="B6" s="31">
        <v>404.34161825930397</v>
      </c>
      <c r="C6" s="31">
        <v>466.5132869649524</v>
      </c>
      <c r="D6" s="31">
        <v>565.8469733184648</v>
      </c>
      <c r="E6" s="31">
        <v>750.9670898039627</v>
      </c>
      <c r="F6" s="31">
        <v>1220.9448697103971</v>
      </c>
    </row>
    <row r="7" spans="1:6" x14ac:dyDescent="0.25">
      <c r="A7" s="30">
        <v>0.051464</v>
      </c>
      <c r="B7" s="31">
        <v>265.13492873485757</v>
      </c>
      <c r="C7" s="31">
        <v>286.70205943830064</v>
      </c>
      <c r="D7" s="32">
        <v>316.06113343550777</v>
      </c>
      <c r="E7" s="31">
        <v>358.6575080413531</v>
      </c>
      <c r="F7" s="31">
        <v>426.5514061135609</v>
      </c>
    </row>
    <row r="8" spans="1:6" x14ac:dyDescent="0.25">
      <c r="A8" s="30">
        <v>0.061464</v>
      </c>
      <c r="B8" s="31">
        <v>186.38665921277536</v>
      </c>
      <c r="C8" s="31">
        <v>194.175859196134</v>
      </c>
      <c r="D8" s="31">
        <v>203.85243828172685</v>
      </c>
      <c r="E8" s="31">
        <v>216.3161767433115</v>
      </c>
      <c r="F8" s="31">
        <v>233.14685808451094</v>
      </c>
    </row>
    <row r="9" spans="1:6" x14ac:dyDescent="0.25">
      <c r="A9" s="30">
        <v>0.071464</v>
      </c>
      <c r="B9" s="31">
        <v>135.94808827571367</v>
      </c>
      <c r="C9" s="31">
        <v>138.0268341585987</v>
      </c>
      <c r="D9" s="31">
        <v>140.36581656278472</v>
      </c>
      <c r="E9" s="31">
        <v>143.05917854778156</v>
      </c>
      <c r="F9" s="31">
        <v>146.2526993400088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6531000000</v>
      </c>
      <c r="C5" s="18">
        <v>5480000000</v>
      </c>
      <c r="D5" s="18">
        <v>6717000000</v>
      </c>
      <c r="E5" s="18">
        <v>6223000000</v>
      </c>
      <c r="F5" s="8" t="s">
        <v>85</v>
      </c>
    </row>
    <row r="6" spans="1:6" x14ac:dyDescent="0.25">
      <c r="A6" t="s">
        <v>44</v>
      </c>
      <c r="B6" s="18">
        <v>1358000000</v>
      </c>
      <c r="C6" s="18">
        <v>879000000</v>
      </c>
      <c r="D6" s="18">
        <v>873000000</v>
      </c>
      <c r="E6" s="18">
        <v>1357000000</v>
      </c>
      <c r="F6" s="8" t="s">
        <v>86</v>
      </c>
    </row>
    <row r="7" spans="1:6" x14ac:dyDescent="0.25">
      <c r="A7" t="s">
        <v>87</v>
      </c>
      <c r="B7" s="18">
        <v>813000000</v>
      </c>
      <c r="C7" s="18">
        <v>647000000</v>
      </c>
      <c r="D7" s="18">
        <v>621000000</v>
      </c>
      <c r="E7" s="18">
        <v>596000000</v>
      </c>
      <c r="F7" s="8" t="s">
        <v>88</v>
      </c>
    </row>
    <row r="8" spans="1:6" x14ac:dyDescent="0.25">
      <c r="A8" t="s">
        <v>89</v>
      </c>
      <c r="B8" s="18">
        <v>1373000000</v>
      </c>
      <c r="C8" s="18">
        <v>1417000000</v>
      </c>
      <c r="D8" s="18">
        <v>1682000000</v>
      </c>
      <c r="E8" s="18">
        <v>1872000000</v>
      </c>
      <c r="F8" s="8" t="s">
        <v>90</v>
      </c>
    </row>
    <row r="9" spans="1:6" x14ac:dyDescent="0.25">
      <c r="A9" t="s">
        <v>91</v>
      </c>
      <c r="B9" s="18">
        <v>384000000</v>
      </c>
      <c r="C9" s="18">
        <v>200000000</v>
      </c>
      <c r="D9" s="18">
        <v>-1000000</v>
      </c>
      <c r="E9" s="18">
        <v>581000000</v>
      </c>
      <c r="F9" s="8" t="s">
        <v>92</v>
      </c>
    </row>
    <row r="10" spans="1:6" x14ac:dyDescent="0.25">
      <c r="A10" t="s">
        <v>93</v>
      </c>
      <c r="B10" s="18">
        <v>4540000000</v>
      </c>
      <c r="C10" s="18">
        <v>5120000000</v>
      </c>
      <c r="D10" s="18">
        <v>3132000000</v>
      </c>
      <c r="E10" s="18">
        <v>2587000000</v>
      </c>
      <c r="F10" s="8" t="s">
        <v>94</v>
      </c>
    </row>
    <row r="11" spans="1:6" x14ac:dyDescent="0.25">
      <c r="A11" t="s">
        <v>95</v>
      </c>
      <c r="B11" s="18">
        <v>719000000</v>
      </c>
      <c r="C11" s="18">
        <v>1711000000</v>
      </c>
      <c r="D11" s="18">
        <v>1668000000</v>
      </c>
      <c r="E11" s="18">
        <v>2224000000</v>
      </c>
      <c r="F11" s="8" t="s">
        <v>96</v>
      </c>
    </row>
    <row r="12" spans="1:6" x14ac:dyDescent="0.25">
      <c r="A12" t="s">
        <v>32</v>
      </c>
      <c r="B12" s="34">
        <v>70234892</v>
      </c>
      <c r="C12" s="34">
        <v>71293448</v>
      </c>
      <c r="D12" s="34">
        <v>73683825</v>
      </c>
      <c r="E12" s="34">
        <v>74357336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9" spans="1:1" x14ac:dyDescent="0.25">
      <c r="A19" s="36" t="s">
        <v>101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