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<sst xmlns="http://schemas.openxmlformats.org/spreadsheetml/2006/main" count="112" uniqueCount="100">
  <si>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Lovisa Holdings Limited (LOV.AX)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</si>
  <si>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</si>
  <si>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</si>
  <si>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</si>
  <si>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</si>
  <si>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</si>
  <si>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</si>
  <si>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</si>
  <si>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</si>
  <si>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</si>
  <si>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</si>
  <si>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</si>
  <si>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</si>
  <si>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</si>
  <si>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</si>
  <si>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</si>
  <si>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</si>
  <si>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</si>
  <si>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</si>
  <si>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</si>
  <si>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</si>
  <si>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</si>
  <si>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</si>
  <si>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</si>
  <si>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</si>
  <si>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</si>
  <si>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</si>
  <si>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</si>
  <si>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</si>
  <si>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</si>
  <si>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2024-06-30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</si>
  <si>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</si>
  <si>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</si>
  <si>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</si>
  <si>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</si>
  <si>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</si>
  <si>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</si>
  <si>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</si>
  <si>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</si>
  <si>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</si>
  <si>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</si>
  <si>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</si>
  <si>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</si>
  <si>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</si>
  <si>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</si>
  <si>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</si>
  <si>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</si>
  <si>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</si>
  <si>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</si>
  <si>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</si>
  <si>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</si>
  <si>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</si>
  <si>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</si>
  <si>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</si>
  <si>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</si>
  <si>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</si>
  <si>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</si>
  <si>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</si>
  <si>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</si>
  <si>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</si>
  <si>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</si>
  <si>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</si>
  <si>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</si>
  <si>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</si>
  <si>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</si>
  <si>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</si>
  <si>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</si>
  <si>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</si>
  <si>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</si>
  <si>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</si>
  <si>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</si>
  <si>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</si>
  <si>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</si>
  <si>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</si>
  <si>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</si>
  <si>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</si>
  <si>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</si>
  <si>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</si>
  <si>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</si>
  <si>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</si>
  <si>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</si>
  <si>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</si>
  <si>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</si>
  <si>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</si>
  <si>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</si>
  <si>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</si>
  <si>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</si>
  <si>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</si>
  <si>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</si>
  <si>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</si>
  <si>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</si>
  <si>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</si>
  <si>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</si>
  <si>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</si>
  <si>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</si>
  <si>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</si>
  <si>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</si>
  <si>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</si>
  <si>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Only 3 year(s) of history available to anchor assumptions on.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</si>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</sst>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0.2341391579152552</v>
      </c>
    </row>
    <row r="7" spans="1:2" x14ac:dyDescent="0.25">
      <c r="A7" t="s">
        <v>5</v>
      </c>
      <c r="B7" s="6">
        <v>0.181280948271344</v>
      </c>
    </row>
    <row r="8" spans="1:2" x14ac:dyDescent="0.25">
      <c r="A8" t="s">
        <v>6</v>
      </c>
      <c r="B8" s="6">
        <v>0.2548195167824074</v>
      </c>
    </row>
    <row r="9" spans="1:2" x14ac:dyDescent="0.25">
      <c r="A9" t="s">
        <v>7</v>
      </c>
      <c r="B9" s="6">
        <v>0.12934891936418705</v>
      </c>
    </row>
    <row r="10" spans="1:2" x14ac:dyDescent="0.25">
      <c r="A10" t="s">
        <v>8</v>
      </c>
      <c r="B10" s="6">
        <v>0.0885387071630907</v>
      </c>
    </row>
    <row r="11" spans="1:2" x14ac:dyDescent="0.25">
      <c r="A11" t="s">
        <v>9</v>
      </c>
      <c r="B11" s="6">
        <v>0.01842019804528077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12.700822799562513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1.09916</v>
      </c>
      <c r="C19" s="8" t="s">
        <v>19</v>
      </c>
    </row>
    <row r="20" spans="1:2" x14ac:dyDescent="0.25">
      <c r="A20" t="s">
        <v>20</v>
      </c>
      <c r="B20" s="10">
        <f>B17+B19*B18</f>
        <v>0.1194296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2504904960</v>
      </c>
    </row>
    <row r="23" spans="1:2" x14ac:dyDescent="0.25">
      <c r="A23" t="s">
        <v>24</v>
      </c>
      <c r="B23" s="11">
        <v>359067000</v>
      </c>
    </row>
    <row r="24" spans="1:2" x14ac:dyDescent="0.25">
      <c r="A24" t="s">
        <v>25</v>
      </c>
      <c r="B24" s="10">
        <f>B22/(B22+B23)</f>
        <v>0.8746262166617023</v>
      </c>
    </row>
    <row r="25" spans="1:2" x14ac:dyDescent="0.25">
      <c r="A25" t="s">
        <v>26</v>
      </c>
      <c r="B25" s="10">
        <f>1-B24</f>
        <v>0.12537378333829774</v>
      </c>
    </row>
    <row r="26" spans="1:2" x14ac:dyDescent="0.25">
      <c r="A26" t="s">
        <v>27</v>
      </c>
      <c r="B26" s="12">
        <f>B24*B20+B25*B21*(1-B8)</f>
        <v>0.10945268684361192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698664000</v>
      </c>
      <c r="C29" s="8" t="s">
        <v>30</v>
      </c>
    </row>
    <row r="30" spans="1:2" x14ac:dyDescent="0.25">
      <c r="A30" t="s">
        <v>31</v>
      </c>
      <c r="B30" s="11">
        <v>328547000</v>
      </c>
    </row>
    <row r="31" spans="1:2" x14ac:dyDescent="0.25">
      <c r="A31" t="s">
        <v>32</v>
      </c>
      <c r="B31" s="13">
        <v>110663354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0.2341391579152552</v>
      </c>
      <c r="C5" s="10">
        <f>Assumptions!B6</f>
        <v>0.2341391579152552</v>
      </c>
      <c r="D5" s="10">
        <f>Assumptions!B6</f>
        <v>0.2341391579152552</v>
      </c>
      <c r="E5" s="10">
        <f>Assumptions!B6</f>
        <v>0.2341391579152552</v>
      </c>
      <c r="F5" s="10">
        <f>Assumptions!B6</f>
        <v>0.2341391579152552</v>
      </c>
    </row>
    <row r="6" spans="1:6" x14ac:dyDescent="0.25">
      <c r="A6" t="s">
        <v>43</v>
      </c>
      <c r="B6" s="18">
        <f>Assumptions!B29*(1+B5)</f>
        <v>862248600.6257038</v>
      </c>
      <c r="C6" s="18">
        <f>B6*(1+C5)</f>
        <v>1064134761.8898133</v>
      </c>
      <c r="D6" s="18">
        <f>C6*(1+D5)</f>
        <v>1313290378.9470448</v>
      </c>
      <c r="E6" s="18">
        <f>D6*(1+E5)</f>
        <v>1620783082.3719122</v>
      </c>
      <c r="F6" s="18">
        <f>E6*(1+F5)</f>
        <v>2000271868.4417634</v>
      </c>
    </row>
    <row r="7" spans="1:6" x14ac:dyDescent="0.25">
      <c r="A7" t="s">
        <v>5</v>
      </c>
      <c r="B7" s="10">
        <f>Assumptions!B7</f>
        <v>0.181280948271344</v>
      </c>
      <c r="C7" s="10">
        <f>Assumptions!B7</f>
        <v>0.181280948271344</v>
      </c>
      <c r="D7" s="10">
        <f>Assumptions!B7</f>
        <v>0.181280948271344</v>
      </c>
      <c r="E7" s="10">
        <f>Assumptions!B7</f>
        <v>0.181280948271344</v>
      </c>
      <c r="F7" s="10">
        <f>Assumptions!B7</f>
        <v>0.181280948271344</v>
      </c>
    </row>
    <row r="8" spans="1:6" x14ac:dyDescent="0.25">
      <c r="A8" t="s">
        <v>44</v>
      </c>
      <c r="B8" s="18">
        <f>B6*B7</f>
        <v>156309243.96706697</v>
      </c>
      <c r="C8" s="18">
        <f>C6*C7</f>
        <v>192907358.72388622</v>
      </c>
      <c r="D8" s="18">
        <f>D6*D7</f>
        <v>238074525.251153</v>
      </c>
      <c r="E8" s="18">
        <f>E6*E7</f>
        <v>293817094.1145321</v>
      </c>
      <c r="F8" s="18">
        <f>F6*F7</f>
        <v>362611181.1116159</v>
      </c>
    </row>
    <row r="9" spans="1:6" x14ac:dyDescent="0.25">
      <c r="A9" t="s">
        <v>45</v>
      </c>
      <c r="B9" s="18">
        <f>B8*(1-Assumptions!B8)</f>
        <v>116478597.95075554</v>
      </c>
      <c r="C9" s="18">
        <f>C8*(1-Assumptions!B8)</f>
        <v>143750798.790095</v>
      </c>
      <c r="D9" s="18">
        <f>D8*(1-Assumptions!B8)</f>
        <v>177408489.76845312</v>
      </c>
      <c r="E9" s="18">
        <f>E8*(1-Assumptions!B8)</f>
        <v>218946764.16985592</v>
      </c>
      <c r="F9" s="18">
        <f>F8*(1-Assumptions!B8)</f>
        <v>270210775.1608559</v>
      </c>
    </row>
    <row r="10" spans="1:6" x14ac:dyDescent="0.25">
      <c r="A10" t="s">
        <v>46</v>
      </c>
      <c r="B10" s="18">
        <f>B6*Assumptions!B9</f>
        <v>111530924.71421729</v>
      </c>
      <c r="C10" s="18">
        <f>C6*Assumptions!B9</f>
        <v>137644681.50831383</v>
      </c>
      <c r="D10" s="18">
        <f>D6*Assumptions!B9</f>
        <v>169872691.32818395</v>
      </c>
      <c r="E10" s="18">
        <f>E6*Assumptions!B9</f>
        <v>209646540.228563</v>
      </c>
      <c r="F10" s="18">
        <f>F6*Assumptions!B9</f>
        <v>258733004.61752543</v>
      </c>
    </row>
    <row r="11" spans="1:6" x14ac:dyDescent="0.25">
      <c r="A11" t="s">
        <v>47</v>
      </c>
      <c r="B11" s="18">
        <f>-B6*Assumptions!B10</f>
        <v>-76342376.35258393</v>
      </c>
      <c r="C11" s="18">
        <f>-C6*Assumptions!B10</f>
        <v>-94217116.06502743</v>
      </c>
      <c r="D11" s="18">
        <f>-D6*Assumptions!B10</f>
        <v>-116277032.28169683</v>
      </c>
      <c r="E11" s="18">
        <f>-E6*Assumptions!B10</f>
        <v>-143502038.70501825</v>
      </c>
      <c r="F11" s="18">
        <f>-F6*Assumptions!B10</f>
        <v>-177101485.20653358</v>
      </c>
    </row>
    <row r="12" spans="1:6" x14ac:dyDescent="0.25">
      <c r="A12" t="s">
        <v>48</v>
      </c>
      <c r="B12" s="18">
        <f>-(B6-Assumptions!B29)*Assumptions!B11</f>
        <v>-3013260.740683625</v>
      </c>
      <c r="C12" s="18">
        <f>-(C6-B6)*Assumptions!B11</f>
        <v>-3718783.073086388</v>
      </c>
      <c r="D12" s="18">
        <f>-(D6-C6)*Assumptions!B11</f>
        <v>-4589495.810288341</v>
      </c>
      <c r="E12" s="18">
        <f>-(E6-D6)*Assumptions!B11</f>
        <v>-5664076.494564842</v>
      </c>
      <c r="F12" s="18">
        <f>-(F6-E6)*Assumptions!B11</f>
        <v>-6990258.595369845</v>
      </c>
    </row>
    <row r="13" spans="1:6" x14ac:dyDescent="0.25">
      <c r="A13" s="19" t="s">
        <v>49</v>
      </c>
      <c r="B13" s="20">
        <f>B9+B10+B11+B12</f>
        <v>148653885.57170528</v>
      </c>
      <c r="C13" s="20">
        <f>C9+C10+C11+C12</f>
        <v>183459581.16029507</v>
      </c>
      <c r="D13" s="20">
        <f>D9+D10+D11+D12</f>
        <v>226414653.0046519</v>
      </c>
      <c r="E13" s="20">
        <f>E9+E10+E11+E12</f>
        <v>279427189.1988358</v>
      </c>
      <c r="F13" s="20">
        <f>F9+F10+F11+F12</f>
        <v>344852035.976478</v>
      </c>
    </row>
    <row r="14" spans="1:6" x14ac:dyDescent="0.25">
      <c r="A14" t="s">
        <v>50</v>
      </c>
      <c r="B14" s="21">
        <f>1/(1+Assumptions!$B$26)^(1-0.5*Assumptions!$B$32)</f>
        <v>0.9493920853231825</v>
      </c>
      <c r="C14" s="21">
        <f>1/(1+Assumptions!$B$26)^(2-0.5*Assumptions!$B$32)</f>
        <v>0.8557301240345806</v>
      </c>
      <c r="D14" s="21">
        <f>1/(1+Assumptions!$B$26)^(3-0.5*Assumptions!$B$32)</f>
        <v>0.77130835247164</v>
      </c>
      <c r="E14" s="21">
        <f>1/(1+Assumptions!$B$26)^(4-0.5*Assumptions!$B$32)</f>
        <v>0.6952151827817091</v>
      </c>
      <c r="F14" s="21">
        <f>1/(1+Assumptions!$B$26)^(5-0.5*Assumptions!$B$32)</f>
        <v>0.6266289595093896</v>
      </c>
    </row>
    <row r="15" spans="1:6" x14ac:dyDescent="0.25">
      <c r="A15" s="19" t="s">
        <v>51</v>
      </c>
      <c r="B15" s="20">
        <f>B13*B14</f>
        <v>141130822.41431504</v>
      </c>
      <c r="C15" s="20">
        <f>C13*C14</f>
        <v>156991890.1416315</v>
      </c>
      <c r="D15" s="20">
        <f>D13*D14</f>
        <v>174635512.98445612</v>
      </c>
      <c r="E15" s="20">
        <f>E13*E14</f>
        <v>194262024.41304785</v>
      </c>
      <c r="F15" s="20">
        <f>F13*F14</f>
        <v>216094272.48863497</v>
      </c>
    </row>
    <row r="17" spans="1:2" x14ac:dyDescent="0.25">
      <c r="A17" s="22" t="s">
        <v>52</v>
      </c>
      <c r="B17" s="23">
        <f>SUM(B15:F15)</f>
        <v>883114522.4420855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344852035.976478</v>
      </c>
    </row>
    <row r="5" spans="1:2" x14ac:dyDescent="0.25">
      <c r="A5" t="s">
        <v>56</v>
      </c>
      <c r="B5" s="18">
        <f>IF(Assumptions!$B$33=0,B4,B4-Forecast!F11-Forecast!F10-Forecast!F12)</f>
        <v>270210775.1608559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-11258782.298368996</v>
      </c>
    </row>
    <row r="8" spans="1:2" x14ac:dyDescent="0.25">
      <c r="A8" t="s">
        <v>59</v>
      </c>
      <c r="B8" s="18">
        <f>IF(OR(Assumptions!$B$33=0,Assumptions!B12&lt;=0),B5,MAX(B5+B7,0))</f>
        <v>258951992.8624869</v>
      </c>
    </row>
    <row r="9" spans="1:2" x14ac:dyDescent="0.25">
      <c r="A9" t="s">
        <v>60</v>
      </c>
      <c r="B9" s="18">
        <f>B8*(1+Assumptions!B12)/(Assumptions!B26-Assumptions!B12)</f>
        <v>3142893406.9979334</v>
      </c>
    </row>
    <row r="10" spans="1:2" x14ac:dyDescent="0.25">
      <c r="A10" t="s">
        <v>61</v>
      </c>
      <c r="B10" s="18">
        <f>B9/(1+Assumptions!B26)^(5-0.5*Assumptions!B32)</f>
        <v>1969428025.4760354</v>
      </c>
    </row>
    <row r="11" spans="1:2" x14ac:dyDescent="0.25">
      <c r="A11" t="s">
        <v>62</v>
      </c>
      <c r="B11" s="18">
        <f>Forecast!B17+B10</f>
        <v>2852542547.918121</v>
      </c>
    </row>
    <row r="12" spans="1:2" x14ac:dyDescent="0.25">
      <c r="A12" t="s">
        <v>63</v>
      </c>
      <c r="B12" s="18">
        <f>-Assumptions!B30</f>
        <v>-328547000</v>
      </c>
    </row>
    <row r="13" spans="1:2" x14ac:dyDescent="0.25">
      <c r="A13" t="s">
        <v>64</v>
      </c>
      <c r="B13" s="18">
        <f>B11+B12</f>
        <v>2523995547.918121</v>
      </c>
    </row>
    <row r="14" spans="1:2" x14ac:dyDescent="0.25">
      <c r="A14" s="19" t="s">
        <v>65</v>
      </c>
      <c r="B14" s="24">
        <f>B13/Assumptions!B31</f>
        <v>22.80787141078447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621344185.7291414</v>
      </c>
    </row>
    <row r="18" spans="1:2" x14ac:dyDescent="0.25">
      <c r="A18" t="s">
        <v>60</v>
      </c>
      <c r="B18" s="18">
        <f>B17*Assumptions!B13</f>
        <v>7891582400.4842825</v>
      </c>
    </row>
    <row r="19" spans="1:2" x14ac:dyDescent="0.25">
      <c r="A19" t="s">
        <v>61</v>
      </c>
      <c r="B19" s="18">
        <f>B18/(1+Assumptions!B26)^(5-0.5*Assumptions!B32)</f>
        <v>4945094068.498076</v>
      </c>
    </row>
    <row r="20" spans="1:2" x14ac:dyDescent="0.25">
      <c r="A20" t="s">
        <v>62</v>
      </c>
      <c r="B20" s="18">
        <f>Forecast!B17+B19</f>
        <v>5828208590.940162</v>
      </c>
    </row>
    <row r="21" spans="1:2" x14ac:dyDescent="0.25">
      <c r="A21" t="s">
        <v>63</v>
      </c>
      <c r="B21" s="18">
        <f>-Assumptions!B30</f>
        <v>-328547000</v>
      </c>
    </row>
    <row r="22" spans="1:2" x14ac:dyDescent="0.25">
      <c r="A22" t="s">
        <v>64</v>
      </c>
      <c r="B22" s="18">
        <f>B20+B21</f>
        <v>5499661590.940162</v>
      </c>
    </row>
    <row r="23" spans="1:2" x14ac:dyDescent="0.25">
      <c r="A23" s="19" t="s">
        <v>65</v>
      </c>
      <c r="B23" s="25">
        <f>B22/Assumptions!B31</f>
        <v>49.697224891088716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22.62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22.80787141078447</v>
      </c>
    </row>
    <row r="29" spans="1:2" x14ac:dyDescent="0.25">
      <c r="A29" s="19" t="s">
        <v>73</v>
      </c>
      <c r="B29" s="12">
        <f>B28/B26-1</f>
        <v>0.008305544243345064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0.089453</v>
      </c>
      <c r="B5" s="31">
        <v>27.489971227126755</v>
      </c>
      <c r="C5" s="31">
        <v>28.99231462744102</v>
      </c>
      <c r="D5" s="31">
        <v>30.72560231407505</v>
      </c>
      <c r="E5" s="31">
        <v>32.748101561931676</v>
      </c>
      <c r="F5" s="31">
        <v>35.139480587974845</v>
      </c>
    </row>
    <row r="6" spans="1:6" x14ac:dyDescent="0.25">
      <c r="A6" s="30">
        <v>0.099453</v>
      </c>
      <c r="B6" s="31">
        <v>23.885283997449214</v>
      </c>
      <c r="C6" s="31">
        <v>24.987792577936666</v>
      </c>
      <c r="D6" s="31">
        <v>26.23659853141856</v>
      </c>
      <c r="E6" s="31">
        <v>27.663298197792642</v>
      </c>
      <c r="F6" s="31">
        <v>29.309292375988086</v>
      </c>
    </row>
    <row r="7" spans="1:6" x14ac:dyDescent="0.25">
      <c r="A7" s="30">
        <v>0.109453</v>
      </c>
      <c r="B7" s="31">
        <v>21.042408135457944</v>
      </c>
      <c r="C7" s="31">
        <v>21.876467233683442</v>
      </c>
      <c r="D7" s="32">
        <v>22.8077767066632</v>
      </c>
      <c r="E7" s="31">
        <v>23.854696536038134</v>
      </c>
      <c r="F7" s="31">
        <v>25.040518669022262</v>
      </c>
    </row>
    <row r="8" spans="1:6" x14ac:dyDescent="0.25">
      <c r="A8" s="30">
        <v>0.119453</v>
      </c>
      <c r="B8" s="31">
        <v>18.742721796971573</v>
      </c>
      <c r="C8" s="31">
        <v>19.38912082126266</v>
      </c>
      <c r="D8" s="31">
        <v>20.102659386964703</v>
      </c>
      <c r="E8" s="31">
        <v>20.894595843391496</v>
      </c>
      <c r="F8" s="31">
        <v>21.778854720883807</v>
      </c>
    </row>
    <row r="9" spans="1:6" x14ac:dyDescent="0.25">
      <c r="A9" s="30">
        <v>0.129453</v>
      </c>
      <c r="B9" s="31">
        <v>16.843994269780147</v>
      </c>
      <c r="C9" s="31">
        <v>17.354905300046134</v>
      </c>
      <c r="D9" s="31">
        <v>17.913602944162868</v>
      </c>
      <c r="E9" s="31">
        <v>18.52729461877702</v>
      </c>
      <c r="F9" s="31">
        <v>19.204713878751452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698664000</v>
      </c>
      <c r="C5" s="18">
        <v>596456000</v>
      </c>
      <c r="D5" s="18">
        <v>458712000</v>
      </c>
      <c r="E5" s="8" t="s">
        <v>83</v>
      </c>
    </row>
    <row r="6" spans="1:5" x14ac:dyDescent="0.25">
      <c r="A6" t="s">
        <v>44</v>
      </c>
      <c r="B6" s="18">
        <v>129970000</v>
      </c>
      <c r="C6" s="18">
        <v>106290000</v>
      </c>
      <c r="D6" s="18">
        <v>82391000</v>
      </c>
      <c r="E6" s="8" t="s">
        <v>84</v>
      </c>
    </row>
    <row r="7" spans="1:5" x14ac:dyDescent="0.25">
      <c r="A7" t="s">
        <v>85</v>
      </c>
      <c r="B7" s="18">
        <v>93122000</v>
      </c>
      <c r="C7" s="18">
        <v>74224000</v>
      </c>
      <c r="D7" s="18">
        <v>59779000</v>
      </c>
      <c r="E7" s="8" t="s">
        <v>86</v>
      </c>
    </row>
    <row r="8" spans="1:5" x14ac:dyDescent="0.25">
      <c r="A8" t="s">
        <v>87</v>
      </c>
      <c r="B8" s="18">
        <v>38606000</v>
      </c>
      <c r="C8" s="18">
        <v>76868000</v>
      </c>
      <c r="D8" s="18">
        <v>37378000</v>
      </c>
      <c r="E8" s="8" t="s">
        <v>88</v>
      </c>
    </row>
    <row r="9" spans="1:5" x14ac:dyDescent="0.25">
      <c r="A9" t="s">
        <v>89</v>
      </c>
      <c r="B9" s="18">
        <v>-5932000</v>
      </c>
      <c r="C9" s="18">
        <v>13069000</v>
      </c>
      <c r="D9" s="18">
        <v>0</v>
      </c>
      <c r="E9" s="8" t="s">
        <v>90</v>
      </c>
    </row>
    <row r="10" spans="1:5" x14ac:dyDescent="0.25">
      <c r="A10" t="s">
        <v>91</v>
      </c>
      <c r="B10" s="18">
        <v>359067000</v>
      </c>
      <c r="C10" s="18">
        <v>372587000</v>
      </c>
      <c r="D10" s="18">
        <v>228372000</v>
      </c>
      <c r="E10" s="8" t="s">
        <v>92</v>
      </c>
    </row>
    <row r="11" spans="1:5" x14ac:dyDescent="0.25">
      <c r="A11" t="s">
        <v>93</v>
      </c>
      <c r="B11" s="18">
        <v>30520000</v>
      </c>
      <c r="C11" s="18">
        <v>31650000</v>
      </c>
      <c r="D11" s="18">
        <v>34153000</v>
      </c>
      <c r="E11" s="8" t="s">
        <v>94</v>
      </c>
    </row>
    <row r="12" spans="1:5" x14ac:dyDescent="0.25">
      <c r="A12" t="s">
        <v>32</v>
      </c>
      <c r="B12" s="34">
        <v>110663354</v>
      </c>
      <c r="C12" s="34">
        <v>110048434</v>
      </c>
      <c r="D12" s="34">
        <v>107984095</v>
      </c>
      <c r="E12" s="8" t="s">
        <v>95</v>
      </c>
    </row>
    <row r="15" spans="1:1" x14ac:dyDescent="0.25">
      <c r="A15" s="19" t="s">
        <v>96</v>
      </c>
    </row>
    <row r="16" ht="22" customHeight="1" spans="1:5" x14ac:dyDescent="0.25">
      <c r="A16" s="35" t="s">
        <v>97</v>
      </c>
      <c r="B16" s="35"/>
      <c r="C16" s="35"/>
      <c r="D16" s="35"/>
      <c r="E16" s="35"/>
    </row>
    <row r="17" ht="22" customHeight="1" spans="1:5" x14ac:dyDescent="0.25">
      <c r="A17" s="35" t="s">
        <v>98</v>
      </c>
      <c r="B17" s="35"/>
      <c r="C17" s="35"/>
      <c r="D17" s="35"/>
      <c r="E17" s="35"/>
    </row>
    <row r="19" spans="1:1" x14ac:dyDescent="0.25">
      <c r="A19" s="36" t="s">
        <v>99</v>
      </c>
    </row>
  </sheetData>
  <mergeCells count="2">
    <mergeCell ref="A16:E16"/>
    <mergeCell ref="A17:E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2026-09-19T00:06:43Z</dcterms:modified>
</cp:coreProperties>
</file>