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<sst xmlns="http://schemas.openxmlformats.org/spreadsheetml/2006/main" count="111" uniqueCount="99">
  <si>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Lowe's Companies, Inc. (LOW)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</si>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</sst>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-0.038458186348783285</v>
      </c>
    </row>
    <row r="7" spans="1:2" x14ac:dyDescent="0.25">
      <c r="A7" t="s">
        <v>5</v>
      </c>
      <c r="B7" s="6">
        <v>0.12030324626559626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0.022916965092694423</v>
      </c>
    </row>
    <row r="10" spans="1:2" x14ac:dyDescent="0.25">
      <c r="A10" t="s">
        <v>8</v>
      </c>
      <c r="B10" s="6">
        <v>0.022564715621262343</v>
      </c>
    </row>
    <row r="11" spans="1:2" x14ac:dyDescent="0.25">
      <c r="A11" t="s">
        <v>9</v>
      </c>
      <c r="B11" s="6">
        <v>0.042879019908116385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12.285760953753948</v>
      </c>
    </row>
    <row r="14" spans="1:3" x14ac:dyDescent="0.25">
      <c r="A14" t="s">
        <v>12</v>
      </c>
      <c r="B14" s="6">
        <v>0.3981232207637442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0.89682</v>
      </c>
      <c r="C19" s="8" t="s">
        <v>19</v>
      </c>
    </row>
    <row r="20" spans="1:2" x14ac:dyDescent="0.25">
      <c r="A20" t="s">
        <v>20</v>
      </c>
      <c r="B20" s="10">
        <f>B17+B19*B18</f>
        <v>0.09930510000000001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107997290496</v>
      </c>
    </row>
    <row r="23" spans="1:2" x14ac:dyDescent="0.25">
      <c r="A23" t="s">
        <v>24</v>
      </c>
      <c r="B23" s="11">
        <v>44677000000</v>
      </c>
    </row>
    <row r="24" spans="1:2" x14ac:dyDescent="0.25">
      <c r="A24" t="s">
        <v>25</v>
      </c>
      <c r="B24" s="10">
        <f>B22/(B22+B23)</f>
        <v>0.7073705084539396</v>
      </c>
    </row>
    <row r="25" spans="1:2" x14ac:dyDescent="0.25">
      <c r="A25" t="s">
        <v>26</v>
      </c>
      <c r="B25" s="10">
        <f>1-B24</f>
        <v>0.29262949154606044</v>
      </c>
    </row>
    <row r="26" spans="1:2" x14ac:dyDescent="0.25">
      <c r="A26" t="s">
        <v>27</v>
      </c>
      <c r="B26" s="12">
        <f>B24*B20+B25*B21*(1-B8)</f>
        <v>0.08179974044917229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86286000000</v>
      </c>
      <c r="C29" s="8" t="s">
        <v>30</v>
      </c>
    </row>
    <row r="30" spans="1:2" x14ac:dyDescent="0.25">
      <c r="A30" t="s">
        <v>31</v>
      </c>
      <c r="B30" s="11">
        <v>43695000000</v>
      </c>
    </row>
    <row r="31" spans="1:2" x14ac:dyDescent="0.25">
      <c r="A31" t="s">
        <v>32</v>
      </c>
      <c r="B31" s="13">
        <v>560000000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-0.038458186348783285</v>
      </c>
      <c r="C5" s="10">
        <f>Assumptions!B6</f>
        <v>-0.038458186348783285</v>
      </c>
      <c r="D5" s="10">
        <f>Assumptions!B6</f>
        <v>-0.038458186348783285</v>
      </c>
      <c r="E5" s="10">
        <f>Assumptions!B6</f>
        <v>-0.038458186348783285</v>
      </c>
      <c r="F5" s="10">
        <f>Assumptions!B6</f>
        <v>-0.038458186348783285</v>
      </c>
    </row>
    <row r="6" spans="1:6" x14ac:dyDescent="0.25">
      <c r="A6" t="s">
        <v>43</v>
      </c>
      <c r="B6" s="18">
        <f>Assumptions!B29*(1+B5)</f>
        <v>82967596932.7089</v>
      </c>
      <c r="C6" s="18">
        <f>B6*(1+C5)</f>
        <v>79776813628.96004</v>
      </c>
      <c r="D6" s="18">
        <f>C6*(1+D5)</f>
        <v>76708742064.10533</v>
      </c>
      <c r="E6" s="18">
        <f>D6*(1+E5)</f>
        <v>73758662967.22322</v>
      </c>
      <c r="F6" s="18">
        <f>E6*(1+F5)</f>
        <v>70922038561.99265</v>
      </c>
    </row>
    <row r="7" spans="1:6" x14ac:dyDescent="0.25">
      <c r="A7" t="s">
        <v>5</v>
      </c>
      <c r="B7" s="10">
        <f>Assumptions!B7</f>
        <v>0.12030324626559626</v>
      </c>
      <c r="C7" s="10">
        <f>Assumptions!B7</f>
        <v>0.12030324626559626</v>
      </c>
      <c r="D7" s="10">
        <f>Assumptions!B7</f>
        <v>0.12030324626559626</v>
      </c>
      <c r="E7" s="10">
        <f>Assumptions!B7</f>
        <v>0.12030324626559626</v>
      </c>
      <c r="F7" s="10">
        <f>Assumptions!B7</f>
        <v>0.12030324626559626</v>
      </c>
    </row>
    <row r="8" spans="1:6" x14ac:dyDescent="0.25">
      <c r="A8" t="s">
        <v>44</v>
      </c>
      <c r="B8" s="18">
        <f>B6*B7</f>
        <v>9981271245.860407</v>
      </c>
      <c r="C8" s="18">
        <f>C6*C7</f>
        <v>9597409656.289354</v>
      </c>
      <c r="D8" s="18">
        <f>D6*D7</f>
        <v>9228310687.262167</v>
      </c>
      <c r="E8" s="18">
        <f>E6*E7</f>
        <v>8873406595.16697</v>
      </c>
      <c r="F8" s="18">
        <f>F6*F7</f>
        <v>8532151470.781515</v>
      </c>
    </row>
    <row r="9" spans="1:6" x14ac:dyDescent="0.25">
      <c r="A9" t="s">
        <v>45</v>
      </c>
      <c r="B9" s="18">
        <f>B8*(1-Assumptions!B8)</f>
        <v>7885204284.229722</v>
      </c>
      <c r="C9" s="18">
        <f>C8*(1-Assumptions!B8)</f>
        <v>7581953628.46859</v>
      </c>
      <c r="D9" s="18">
        <f>D8*(1-Assumptions!B8)</f>
        <v>7290365442.937112</v>
      </c>
      <c r="E9" s="18">
        <f>E8*(1-Assumptions!B8)</f>
        <v>7009991210.181906</v>
      </c>
      <c r="F9" s="18">
        <f>F8*(1-Assumptions!B8)</f>
        <v>6740399661.9173975</v>
      </c>
    </row>
    <row r="10" spans="1:6" x14ac:dyDescent="0.25">
      <c r="A10" t="s">
        <v>46</v>
      </c>
      <c r="B10" s="18">
        <f>B6*Assumptions!B9</f>
        <v>1901365522.7316306</v>
      </c>
      <c r="C10" s="18">
        <f>C6*Assumptions!B9</f>
        <v>1828242453.1412659</v>
      </c>
      <c r="D10" s="18">
        <f>D6*Assumptions!B9</f>
        <v>1757931564.1876023</v>
      </c>
      <c r="E10" s="18">
        <f>E6*Assumptions!B9</f>
        <v>1690324704.5036674</v>
      </c>
      <c r="F10" s="18">
        <f>F6*Assumptions!B9</f>
        <v>1625317882.027913</v>
      </c>
    </row>
    <row r="11" spans="1:6" x14ac:dyDescent="0.25">
      <c r="A11" t="s">
        <v>47</v>
      </c>
      <c r="B11" s="18">
        <f>-B6*Assumptions!B10</f>
        <v>-1872140230.566094</v>
      </c>
      <c r="C11" s="18">
        <f>-C6*Assumptions!B10</f>
        <v>-1800141112.7079291</v>
      </c>
      <c r="D11" s="18">
        <f>-D6*Assumptions!B10</f>
        <v>-1730910950.3413014</v>
      </c>
      <c r="E11" s="18">
        <f>-E6*Assumptions!B10</f>
        <v>-1664343254.4599261</v>
      </c>
      <c r="F11" s="18">
        <f>-F6*Assumptions!B10</f>
        <v>-1600335631.4315658</v>
      </c>
    </row>
    <row r="12" spans="1:6" x14ac:dyDescent="0.25">
      <c r="A12" t="s">
        <v>48</v>
      </c>
      <c r="B12" s="18">
        <f>-(B6-Assumptions!B29)*Assumptions!B11</f>
        <v>142289871.18552986</v>
      </c>
      <c r="C12" s="18">
        <f>-(C6-B6)*Assumptions!B11</f>
        <v>136817660.80393255</v>
      </c>
      <c r="D12" s="18">
        <f>-(D6-C6)*Assumptions!B11</f>
        <v>131555901.70893072</v>
      </c>
      <c r="E12" s="18">
        <f>-(E6-D6)*Assumptions!B11</f>
        <v>126496500.32572603</v>
      </c>
      <c r="F12" s="18">
        <f>-(F6-E6)*Assumptions!B11</f>
        <v>121631674.34373064</v>
      </c>
    </row>
    <row r="13" spans="1:6" x14ac:dyDescent="0.25">
      <c r="A13" s="19" t="s">
        <v>49</v>
      </c>
      <c r="B13" s="20">
        <f>B9+B10+B11+B12</f>
        <v>8056719447.58079</v>
      </c>
      <c r="C13" s="20">
        <f>C9+C10+C11+C12</f>
        <v>7746872629.705858</v>
      </c>
      <c r="D13" s="20">
        <f>D9+D10+D11+D12</f>
        <v>7448941958.492344</v>
      </c>
      <c r="E13" s="20">
        <f>E9+E10+E11+E12</f>
        <v>7162469160.551373</v>
      </c>
      <c r="F13" s="20">
        <f>F9+F10+F11+F12</f>
        <v>6887013586.857475</v>
      </c>
    </row>
    <row r="14" spans="1:6" x14ac:dyDescent="0.25">
      <c r="A14" t="s">
        <v>50</v>
      </c>
      <c r="B14" s="21">
        <f>1/(1+Assumptions!$B$26)^(1-0.5*Assumptions!$B$32)</f>
        <v>0.9614496895675002</v>
      </c>
      <c r="C14" s="21">
        <f>1/(1+Assumptions!$B$26)^(2-0.5*Assumptions!$B$32)</f>
        <v>0.8887501573704374</v>
      </c>
      <c r="D14" s="21">
        <f>1/(1+Assumptions!$B$26)^(3-0.5*Assumptions!$B$32)</f>
        <v>0.8215477635457934</v>
      </c>
      <c r="E14" s="21">
        <f>1/(1+Assumptions!$B$26)^(4-0.5*Assumptions!$B$32)</f>
        <v>0.7594268447547232</v>
      </c>
      <c r="F14" s="21">
        <f>1/(1+Assumptions!$B$26)^(5-0.5*Assumptions!$B$32)</f>
        <v>0.7020031678316013</v>
      </c>
    </row>
    <row r="15" spans="1:6" x14ac:dyDescent="0.25">
      <c r="A15" s="19" t="s">
        <v>51</v>
      </c>
      <c r="B15" s="20">
        <f>B13*B14</f>
        <v>7746130411.808991</v>
      </c>
      <c r="C15" s="20">
        <f>C13*C14</f>
        <v>6885034268.779816</v>
      </c>
      <c r="D15" s="20">
        <f>D13*D14</f>
        <v>6119661606.781807</v>
      </c>
      <c r="E15" s="20">
        <f>E13*E14</f>
        <v>5439371355.25054</v>
      </c>
      <c r="F15" s="20">
        <f>F13*F14</f>
        <v>4834705354.873227</v>
      </c>
    </row>
    <row r="17" spans="1:2" x14ac:dyDescent="0.25">
      <c r="A17" s="22" t="s">
        <v>52</v>
      </c>
      <c r="B17" s="23">
        <f>SUM(B15:F15)</f>
        <v>31024902997.49438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6887013586.857475</v>
      </c>
    </row>
    <row r="5" spans="1:2" x14ac:dyDescent="0.25">
      <c r="A5" t="s">
        <v>56</v>
      </c>
      <c r="B5" s="18">
        <f>IF(Assumptions!$B$33=0,B4,B4-Forecast!F11-Forecast!F10-Forecast!F12)</f>
        <v>6740399661.9173975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0.06279462914029724</v>
      </c>
    </row>
    <row r="7" spans="1:2" x14ac:dyDescent="0.25">
      <c r="A7" t="s">
        <v>58</v>
      </c>
      <c r="B7" s="18">
        <f>-MAX(Forecast!F9,0)*B6</f>
        <v>-423260897.0274879</v>
      </c>
    </row>
    <row r="8" spans="1:2" x14ac:dyDescent="0.25">
      <c r="A8" t="s">
        <v>59</v>
      </c>
      <c r="B8" s="18">
        <f>IF(OR(Assumptions!$B$33=0,Assumptions!B12&lt;=0),B5,MAX(B5+B7,0))</f>
        <v>6317138764.88991</v>
      </c>
    </row>
    <row r="9" spans="1:2" x14ac:dyDescent="0.25">
      <c r="A9" t="s">
        <v>60</v>
      </c>
      <c r="B9" s="18">
        <f>B8*(1+Assumptions!B12)/(Assumptions!B26-Assumptions!B12)</f>
        <v>113998183491.81407</v>
      </c>
    </row>
    <row r="10" spans="1:2" x14ac:dyDescent="0.25">
      <c r="A10" t="s">
        <v>61</v>
      </c>
      <c r="B10" s="18">
        <f>B9/(1+Assumptions!B26)^(5-0.5*Assumptions!B32)</f>
        <v>80027085938.30164</v>
      </c>
    </row>
    <row r="11" spans="1:2" x14ac:dyDescent="0.25">
      <c r="A11" t="s">
        <v>62</v>
      </c>
      <c r="B11" s="18">
        <f>Forecast!B17+B10</f>
        <v>111051988935.79602</v>
      </c>
    </row>
    <row r="12" spans="1:2" x14ac:dyDescent="0.25">
      <c r="A12" t="s">
        <v>63</v>
      </c>
      <c r="B12" s="18">
        <f>-Assumptions!B30</f>
        <v>-43695000000</v>
      </c>
    </row>
    <row r="13" spans="1:2" x14ac:dyDescent="0.25">
      <c r="A13" t="s">
        <v>64</v>
      </c>
      <c r="B13" s="18">
        <f>B11+B12</f>
        <v>67356988935.79602</v>
      </c>
    </row>
    <row r="14" spans="1:2" x14ac:dyDescent="0.25">
      <c r="A14" s="19" t="s">
        <v>65</v>
      </c>
      <c r="B14" s="24">
        <f>B13/Assumptions!B31</f>
        <v>120.28033738535004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10157469352.80943</v>
      </c>
    </row>
    <row r="18" spans="1:2" x14ac:dyDescent="0.25">
      <c r="A18" t="s">
        <v>60</v>
      </c>
      <c r="B18" s="18">
        <f>B17*Assumptions!B13</f>
        <v>124792240363.69847</v>
      </c>
    </row>
    <row r="19" spans="1:2" x14ac:dyDescent="0.25">
      <c r="A19" t="s">
        <v>61</v>
      </c>
      <c r="B19" s="18">
        <f>B18/(1+Assumptions!B26)^(5-0.5*Assumptions!B32)</f>
        <v>87604548056.11896</v>
      </c>
    </row>
    <row r="20" spans="1:2" x14ac:dyDescent="0.25">
      <c r="A20" t="s">
        <v>62</v>
      </c>
      <c r="B20" s="18">
        <f>Forecast!B17+B19</f>
        <v>118629451053.61334</v>
      </c>
    </row>
    <row r="21" spans="1:2" x14ac:dyDescent="0.25">
      <c r="A21" t="s">
        <v>63</v>
      </c>
      <c r="B21" s="18">
        <f>-Assumptions!B30</f>
        <v>-43695000000</v>
      </c>
    </row>
    <row r="22" spans="1:2" x14ac:dyDescent="0.25">
      <c r="A22" t="s">
        <v>64</v>
      </c>
      <c r="B22" s="18">
        <f>B20+B21</f>
        <v>74934451053.61334</v>
      </c>
    </row>
    <row r="23" spans="1:2" x14ac:dyDescent="0.25">
      <c r="A23" s="19" t="s">
        <v>65</v>
      </c>
      <c r="B23" s="25">
        <f>B22/Assumptions!B31</f>
        <v>133.81151973859525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192.49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120.28033738535004</v>
      </c>
    </row>
    <row r="29" spans="1:2" x14ac:dyDescent="0.25">
      <c r="A29" s="19" t="s">
        <v>73</v>
      </c>
      <c r="B29" s="12">
        <f>B28/B26-1</f>
        <v>-0.37513461797833636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0.0618</v>
      </c>
      <c r="B5" s="31">
        <v>171.586290541082</v>
      </c>
      <c r="C5" s="31">
        <v>192.77028660981583</v>
      </c>
      <c r="D5" s="31">
        <v>219.67944089423534</v>
      </c>
      <c r="E5" s="31">
        <v>255.0142997224944</v>
      </c>
      <c r="F5" s="31">
        <v>303.4907425034582</v>
      </c>
    </row>
    <row r="6" spans="1:6" x14ac:dyDescent="0.25">
      <c r="A6" s="30">
        <v>0.0718</v>
      </c>
      <c r="B6" s="31">
        <v>130.06177788177848</v>
      </c>
      <c r="C6" s="31">
        <v>143.3253350386052</v>
      </c>
      <c r="D6" s="31">
        <v>159.39934316060817</v>
      </c>
      <c r="E6" s="31">
        <v>179.29233728313784</v>
      </c>
      <c r="F6" s="31">
        <v>204.56096930858263</v>
      </c>
    </row>
    <row r="7" spans="1:6" x14ac:dyDescent="0.25">
      <c r="A7" s="30">
        <v>0.0818</v>
      </c>
      <c r="B7" s="31">
        <v>100.92594040733114</v>
      </c>
      <c r="C7" s="31">
        <v>109.82839479292346</v>
      </c>
      <c r="D7" s="32">
        <v>120.27949996510566</v>
      </c>
      <c r="E7" s="31">
        <v>132.72770692385558</v>
      </c>
      <c r="F7" s="31">
        <v>147.8131123956373</v>
      </c>
    </row>
    <row r="8" spans="1:6" x14ac:dyDescent="0.25">
      <c r="A8" s="30">
        <v>0.0918</v>
      </c>
      <c r="B8" s="31">
        <v>79.34120886845163</v>
      </c>
      <c r="C8" s="31">
        <v>85.6181163411215</v>
      </c>
      <c r="D8" s="31">
        <v>92.81943904952175</v>
      </c>
      <c r="E8" s="31">
        <v>101.16954962368393</v>
      </c>
      <c r="F8" s="31">
        <v>110.97182514083401</v>
      </c>
    </row>
    <row r="9" spans="1:6" x14ac:dyDescent="0.25">
      <c r="A9" s="30">
        <v>0.1018</v>
      </c>
      <c r="B9" s="31">
        <v>62.6992166905135</v>
      </c>
      <c r="C9" s="31">
        <v>67.29042045112607</v>
      </c>
      <c r="D9" s="31">
        <v>72.46671311995158</v>
      </c>
      <c r="E9" s="31">
        <v>78.3503277558089</v>
      </c>
      <c r="F9" s="31">
        <v>85.10009414171427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86286000000</v>
      </c>
      <c r="C5" s="18">
        <v>83674000000</v>
      </c>
      <c r="D5" s="18">
        <v>86377000000</v>
      </c>
      <c r="E5" s="18">
        <v>97059000000</v>
      </c>
      <c r="F5" s="8" t="s">
        <v>84</v>
      </c>
    </row>
    <row r="6" spans="1:6" x14ac:dyDescent="0.25">
      <c r="A6" t="s">
        <v>44</v>
      </c>
      <c r="B6" s="18">
        <v>10153000000</v>
      </c>
      <c r="C6" s="18">
        <v>10466000000</v>
      </c>
      <c r="D6" s="18">
        <v>11557000000</v>
      </c>
      <c r="E6" s="18">
        <v>10159000000</v>
      </c>
      <c r="F6" s="8" t="s">
        <v>85</v>
      </c>
    </row>
    <row r="7" spans="1:6" x14ac:dyDescent="0.25">
      <c r="A7" t="s">
        <v>86</v>
      </c>
      <c r="B7" s="18">
        <v>2194000000</v>
      </c>
      <c r="C7" s="18">
        <v>1972000000</v>
      </c>
      <c r="D7" s="18">
        <v>1923000000</v>
      </c>
      <c r="E7" s="18">
        <v>1981000000</v>
      </c>
      <c r="F7" s="8" t="s">
        <v>87</v>
      </c>
    </row>
    <row r="8" spans="1:6" x14ac:dyDescent="0.25">
      <c r="A8" t="s">
        <v>88</v>
      </c>
      <c r="B8" s="18">
        <v>2213000000</v>
      </c>
      <c r="C8" s="18">
        <v>1927000000</v>
      </c>
      <c r="D8" s="18">
        <v>1964000000</v>
      </c>
      <c r="E8" s="18">
        <v>1829000000</v>
      </c>
      <c r="F8" s="8" t="s">
        <v>89</v>
      </c>
    </row>
    <row r="9" spans="1:6" x14ac:dyDescent="0.25">
      <c r="A9" t="s">
        <v>90</v>
      </c>
      <c r="B9" s="18">
        <v>112000000</v>
      </c>
      <c r="C9" s="18">
        <v>-118000000</v>
      </c>
      <c r="D9" s="18">
        <v>2228000000</v>
      </c>
      <c r="E9" s="18">
        <v>2882000000</v>
      </c>
      <c r="F9" s="8" t="s">
        <v>91</v>
      </c>
    </row>
    <row r="10" spans="1:6" x14ac:dyDescent="0.25">
      <c r="A10" t="s">
        <v>92</v>
      </c>
      <c r="B10" s="18">
        <v>44677000000</v>
      </c>
      <c r="C10" s="18">
        <v>39678000000</v>
      </c>
      <c r="D10" s="18">
        <v>40145000000</v>
      </c>
      <c r="E10" s="18">
        <v>37994000000</v>
      </c>
      <c r="F10" s="8" t="s">
        <v>93</v>
      </c>
    </row>
    <row r="11" spans="1:6" x14ac:dyDescent="0.25">
      <c r="A11" t="s">
        <v>94</v>
      </c>
      <c r="B11" s="18">
        <v>982000000</v>
      </c>
      <c r="C11" s="18">
        <v>1761000000</v>
      </c>
      <c r="D11" s="18">
        <v>921000000</v>
      </c>
      <c r="E11" s="18">
        <v>1348000000</v>
      </c>
      <c r="F11" s="8" t="s">
        <v>95</v>
      </c>
    </row>
    <row r="12" spans="1:6" x14ac:dyDescent="0.25">
      <c r="A12" t="s">
        <v>32</v>
      </c>
      <c r="B12" s="34">
        <v>560000000</v>
      </c>
      <c r="C12" s="34">
        <v>568000000</v>
      </c>
      <c r="D12" s="34">
        <v>584000000</v>
      </c>
      <c r="E12" s="34">
        <v>631000000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2026-09-19T01:04:54Z</dcterms:modified>
</cp:coreProperties>
</file>