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<sst xmlns="http://schemas.openxmlformats.org/spreadsheetml/2006/main" count="119" uniqueCount="106">
  <si>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Lowe's Companies, Inc. (LOW)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</si>
  <si>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</si>
  <si>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</si>
  <si>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</si>
  <si>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</si>
  <si>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</si>
  <si>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</si>
  <si>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</si>
  <si>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</si>
  <si>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</si>
  <si>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</si>
  <si>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</si>
  <si>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</si>
  <si>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</si>
  <si>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</si>
  <si>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</si>
  <si>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</si>
  <si>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</si>
  <si>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</si>
  <si>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</si>
  <si>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</si>
  <si>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</si>
  <si>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</si>
  <si>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</si>
  <si>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6.6x interest cover. Book interest / average debt was lower, at 3.6%.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</si>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</sst>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0.06773415641007818</v>
      </c>
    </row>
    <row r="7" spans="1:2" x14ac:dyDescent="0.25">
      <c r="A7" t="s">
        <v>4</v>
      </c>
      <c r="B7" s="5">
        <v>0.12030324626559626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0.022916965092694423</v>
      </c>
    </row>
    <row r="10" spans="1:3" x14ac:dyDescent="0.25">
      <c r="A10" t="s">
        <v>7</v>
      </c>
      <c r="B10" s="5">
        <v>0.022564715621262343</v>
      </c>
      <c r="C10" s="6" t="s">
        <v>8</v>
      </c>
    </row>
    <row r="11" spans="1:2" x14ac:dyDescent="0.25">
      <c r="A11" t="s">
        <v>9</v>
      </c>
      <c r="B11" s="5">
        <v>0.09907389489479268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13.039164869198995</v>
      </c>
    </row>
    <row r="14" spans="1:3" x14ac:dyDescent="0.25">
      <c r="A14" t="s">
        <v>12</v>
      </c>
      <c r="B14" s="5">
        <v>0.3981232207637442</v>
      </c>
      <c r="C14" s="6" t="s">
        <v>13</v>
      </c>
    </row>
    <row r="15" spans="1:3" x14ac:dyDescent="0.25">
      <c r="A15" t="s">
        <v>14</v>
      </c>
      <c r="B15" s="5">
        <v>0.022916965092694423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0.91826</v>
      </c>
      <c r="C19" s="6" t="s">
        <v>21</v>
      </c>
    </row>
    <row r="20" spans="1:2" x14ac:dyDescent="0.25">
      <c r="A20" t="s">
        <v>22</v>
      </c>
      <c r="B20" s="9">
        <f>B17+B19*B18</f>
        <v>0.087782398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117299568640</v>
      </c>
    </row>
    <row r="23" spans="1:2" x14ac:dyDescent="0.25">
      <c r="A23" t="s">
        <v>26</v>
      </c>
      <c r="B23" s="10">
        <v>44677000000</v>
      </c>
    </row>
    <row r="24" spans="1:2" x14ac:dyDescent="0.25">
      <c r="A24" t="s">
        <v>27</v>
      </c>
      <c r="B24" s="9">
        <f>B22/(B22+B23)</f>
        <v>0.7241761547665787</v>
      </c>
    </row>
    <row r="25" spans="1:2" x14ac:dyDescent="0.25">
      <c r="A25" t="s">
        <v>28</v>
      </c>
      <c r="B25" s="9">
        <f>1-B24</f>
        <v>0.2758238452334213</v>
      </c>
    </row>
    <row r="26" spans="1:2" x14ac:dyDescent="0.25">
      <c r="A26" t="s">
        <v>29</v>
      </c>
      <c r="B26" s="11">
        <f>B24*B20+B25*B21*(1-B8)</f>
        <v>0.0754324410460903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86286000000</v>
      </c>
      <c r="C29" s="6" t="s">
        <v>32</v>
      </c>
    </row>
    <row r="30" spans="1:2" x14ac:dyDescent="0.25">
      <c r="A30" t="s">
        <v>33</v>
      </c>
      <c r="B30" s="10">
        <v>43695000000</v>
      </c>
    </row>
    <row r="31" spans="1:2" x14ac:dyDescent="0.25">
      <c r="A31" t="s">
        <v>34</v>
      </c>
      <c r="B31" s="12">
        <v>560000000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0.06773415641007818</v>
      </c>
      <c r="C5" s="5">
        <v>0.024281293939251603</v>
      </c>
      <c r="D5" s="5">
        <v>0.02437113219684515</v>
      </c>
      <c r="E5" s="5">
        <v>0.0244609704544387</v>
      </c>
      <c r="F5" s="5">
        <v>0.024550808712032253</v>
      </c>
      <c r="G5" s="5">
        <v>0.024640646969625802</v>
      </c>
      <c r="H5" s="5">
        <v>0.02473048522721935</v>
      </c>
      <c r="I5" s="5">
        <v>0.024820323484812903</v>
      </c>
      <c r="J5" s="5">
        <v>0.024910161742406452</v>
      </c>
      <c r="K5" s="5">
        <v>0.025</v>
      </c>
    </row>
    <row r="6" spans="1:11" x14ac:dyDescent="0.25">
      <c r="A6" t="s">
        <v>50</v>
      </c>
      <c r="B6" s="18">
        <f>Assumptions!B29*(1+B5)</f>
        <v>92130509420</v>
      </c>
      <c r="C6" s="18">
        <f>B6*(1+C5)</f>
        <v>94367557400.00002</v>
      </c>
      <c r="D6" s="18">
        <f>C6*(1+D5)</f>
        <v>96667401616.48878</v>
      </c>
      <c r="E6" s="18">
        <f>D6*(1+E5)</f>
        <v>99031980071.33708</v>
      </c>
      <c r="F6" s="18">
        <f>E6*(1+F5)</f>
        <v>101463295270.44228</v>
      </c>
      <c r="G6" s="18">
        <f>F6*(1+G5)</f>
        <v>103963416509.57616</v>
      </c>
      <c r="H6" s="18">
        <f>G6*(1+H5)</f>
        <v>106534482245.73749</v>
      </c>
      <c r="I6" s="18">
        <f>H6*(1+I5)</f>
        <v>109178702557.36375</v>
      </c>
      <c r="J6" s="18">
        <f>I6*(1+J5)</f>
        <v>111898361696.89375</v>
      </c>
      <c r="K6" s="18">
        <f>J6*(1+K5)</f>
        <v>114695820739.31609</v>
      </c>
    </row>
    <row r="7" spans="1:11" x14ac:dyDescent="0.25">
      <c r="A7" t="s">
        <v>4</v>
      </c>
      <c r="B7" s="9">
        <f>Assumptions!B7</f>
        <v>0.12030324626559626</v>
      </c>
      <c r="C7" s="9">
        <f>Assumptions!B7</f>
        <v>0.12030324626559626</v>
      </c>
      <c r="D7" s="9">
        <f>Assumptions!B7</f>
        <v>0.12030324626559626</v>
      </c>
      <c r="E7" s="9">
        <f>Assumptions!B7</f>
        <v>0.12030324626559626</v>
      </c>
      <c r="F7" s="9">
        <f>Assumptions!B7</f>
        <v>0.12030324626559626</v>
      </c>
      <c r="G7" s="9">
        <f>Assumptions!B7</f>
        <v>0.12030324626559626</v>
      </c>
      <c r="H7" s="9">
        <f>Assumptions!B7</f>
        <v>0.12030324626559626</v>
      </c>
      <c r="I7" s="9">
        <f>Assumptions!B7</f>
        <v>0.12030324626559626</v>
      </c>
      <c r="J7" s="9">
        <f>Assumptions!B7</f>
        <v>0.12030324626559626</v>
      </c>
      <c r="K7" s="9">
        <f>Assumptions!B7</f>
        <v>0.12030324626559626</v>
      </c>
    </row>
    <row r="8" spans="1:11" x14ac:dyDescent="0.25">
      <c r="A8" t="s">
        <v>51</v>
      </c>
      <c r="B8" s="18">
        <f>B6*B7</f>
        <v>11083599363.329096</v>
      </c>
      <c r="C8" s="18">
        <f>C6*C7</f>
        <v>11352723497.374992</v>
      </c>
      <c r="D8" s="18">
        <f>D6*D7</f>
        <v>11629402222.523748</v>
      </c>
      <c r="E8" s="18">
        <f>E6*E7</f>
        <v>11913868686.691685</v>
      </c>
      <c r="F8" s="18">
        <f>F6*F7</f>
        <v>12206363797.838924</v>
      </c>
      <c r="G8" s="18">
        <f>G6*G7</f>
        <v>12507136498.964296</v>
      </c>
      <c r="H8" s="18">
        <f>H6*H7</f>
        <v>12816444053.38675</v>
      </c>
      <c r="I8" s="18">
        <f>I6*I7</f>
        <v>13134552340.716816</v>
      </c>
      <c r="J8" s="18">
        <f>J6*J7</f>
        <v>13461736163.938173</v>
      </c>
      <c r="K8" s="18">
        <f>K6*K7</f>
        <v>13798279568.036625</v>
      </c>
    </row>
    <row r="9" spans="1:11" x14ac:dyDescent="0.25">
      <c r="A9" t="s">
        <v>52</v>
      </c>
      <c r="B9" s="18">
        <f>B8*(1-Assumptions!B8)</f>
        <v>8756043497.029985</v>
      </c>
      <c r="C9" s="18">
        <f>C8*(1-Assumptions!B8)</f>
        <v>8968651562.926245</v>
      </c>
      <c r="D9" s="18">
        <f>D8*(1-Assumptions!B8)</f>
        <v>9187227755.793762</v>
      </c>
      <c r="E9" s="18">
        <f>E8*(1-Assumptions!B8)</f>
        <v>9411956262.486431</v>
      </c>
      <c r="F9" s="18">
        <f>F8*(1-Assumptions!B8)</f>
        <v>9643027400.292751</v>
      </c>
      <c r="G9" s="18">
        <f>G8*(1-Assumptions!B8)</f>
        <v>9880637834.181795</v>
      </c>
      <c r="H9" s="18">
        <f>H8*(1-Assumptions!B8)</f>
        <v>10124990802.175533</v>
      </c>
      <c r="I9" s="18">
        <f>I8*(1-Assumptions!B8)</f>
        <v>10376296349.166285</v>
      </c>
      <c r="J9" s="18">
        <f>J8*(1-Assumptions!B8)</f>
        <v>10634771569.511158</v>
      </c>
      <c r="K9" s="18">
        <f>K8*(1-Assumptions!B8)</f>
        <v>10900640858.748934</v>
      </c>
    </row>
    <row r="10" spans="1:11" x14ac:dyDescent="0.25">
      <c r="A10" t="s">
        <v>53</v>
      </c>
      <c r="B10" s="18">
        <f>B6*Assumptions!B9</f>
        <v>2111351668.3502946</v>
      </c>
      <c r="C10" s="18">
        <f>C6*Assumptions!B9</f>
        <v>2162618018.8186374</v>
      </c>
      <c r="D10" s="18">
        <f>D6*Assumptions!B9</f>
        <v>2215323468.446546</v>
      </c>
      <c r="E10" s="18">
        <f>E6*Assumptions!B9</f>
        <v>2269512430.355242</v>
      </c>
      <c r="F10" s="18">
        <f>F6*Assumptions!B9</f>
        <v>2325230795.902473</v>
      </c>
      <c r="G10" s="18">
        <f>G6*Assumptions!B9</f>
        <v>2382525987.067208</v>
      </c>
      <c r="H10" s="18">
        <f>H6*Assumptions!B9</f>
        <v>2441447010.79384</v>
      </c>
      <c r="I10" s="18">
        <f>I6*Assumptions!B9</f>
        <v>2502044515.372772</v>
      </c>
      <c r="J10" s="18">
        <f>J6*Assumptions!B9</f>
        <v>2564370848.937409</v>
      </c>
      <c r="K10" s="18">
        <f>K6*Assumptions!B9</f>
        <v>2628480120.160844</v>
      </c>
    </row>
    <row r="11" spans="1:11" x14ac:dyDescent="0.25">
      <c r="A11" t="s">
        <v>54</v>
      </c>
      <c r="B11" s="18">
        <f>-B6*B19</f>
        <v>-2078898745.1043315</v>
      </c>
      <c r="C11" s="18">
        <f>-C6*C19</f>
        <v>-2195646437.826039</v>
      </c>
      <c r="D11" s="18">
        <f>-D6*D19</f>
        <v>-2317041227.517233</v>
      </c>
      <c r="E11" s="18">
        <f>-E6*E19</f>
        <v>-2443263222.9277525</v>
      </c>
      <c r="F11" s="18">
        <f>-F6*F19</f>
        <v>-2574499613.338093</v>
      </c>
      <c r="G11" s="18">
        <f>-G6*G19</f>
        <v>-2710944954.653885</v>
      </c>
      <c r="H11" s="18">
        <f>-H6*H19</f>
        <v>-2852801467.421411</v>
      </c>
      <c r="I11" s="18">
        <f>-I6*I19</f>
        <v>-3000279347.2766695</v>
      </c>
      <c r="J11" s="18">
        <f>-J6*J19</f>
        <v>-3153597088.3631854</v>
      </c>
      <c r="K11" s="18">
        <f>-K6*K19</f>
        <v>-3312981820.277554</v>
      </c>
    </row>
    <row r="12" spans="1:11" x14ac:dyDescent="0.25">
      <c r="A12" t="s">
        <v>55</v>
      </c>
      <c r="B12" s="18">
        <f>-(B6-Assumptions!B29)*Assumptions!B11</f>
        <v>-579038311.9887058</v>
      </c>
      <c r="C12" s="18">
        <f>-(C6-B6)*Assumptions!B11</f>
        <v>-221633056.44512978</v>
      </c>
      <c r="D12" s="18">
        <f>-(D6-C6)*Assumptions!B11</f>
        <v>-227854524.17880517</v>
      </c>
      <c r="E12" s="18">
        <f>-(E6-D6)*Assumptions!B11</f>
        <v>-234267997.30613148</v>
      </c>
      <c r="F12" s="18">
        <f>-(F6-E6)*Assumptions!B11</f>
        <v>-240879866.49225995</v>
      </c>
      <c r="G12" s="18">
        <f>-(G6-F6)*Assumptions!B11</f>
        <v>-247696748.87018892</v>
      </c>
      <c r="H12" s="18">
        <f>-(H6-G6)*Assumptions!B11</f>
        <v>-254725496.51205048</v>
      </c>
      <c r="I12" s="18">
        <f>-(I6-H6)*Assumptions!B11</f>
        <v>-261973205.23273668</v>
      </c>
      <c r="J12" s="18">
        <f>-(J6-I6)*Assumptions!B11</f>
        <v>-269447223.7394574</v>
      </c>
      <c r="K12" s="18">
        <f>-(K6-J6)*Assumptions!B11</f>
        <v>-277155163.1414376</v>
      </c>
    </row>
    <row r="13" spans="1:11" x14ac:dyDescent="0.25">
      <c r="A13" s="19" t="s">
        <v>56</v>
      </c>
      <c r="B13" s="20">
        <f>B9+B10+B11+B12</f>
        <v>8209458108.287242</v>
      </c>
      <c r="C13" s="20">
        <f>C9+C10+C11+C12</f>
        <v>8713990087.473715</v>
      </c>
      <c r="D13" s="20">
        <f>D9+D10+D11+D12</f>
        <v>8857655472.544271</v>
      </c>
      <c r="E13" s="20">
        <f>E9+E10+E11+E12</f>
        <v>9003937472.60779</v>
      </c>
      <c r="F13" s="20">
        <f>F9+F10+F11+F12</f>
        <v>9152878716.364872</v>
      </c>
      <c r="G13" s="20">
        <f>G9+G10+G11+G12</f>
        <v>9304522117.724928</v>
      </c>
      <c r="H13" s="20">
        <f>H9+H10+H11+H12</f>
        <v>9458910849.035912</v>
      </c>
      <c r="I13" s="20">
        <f>I9+I10+I11+I12</f>
        <v>9616088312.02965</v>
      </c>
      <c r="J13" s="20">
        <f>J9+J10+J11+J12</f>
        <v>9776098106.345922</v>
      </c>
      <c r="K13" s="20">
        <f>K9+K10+K11+K12</f>
        <v>9938983995.490788</v>
      </c>
    </row>
    <row r="14" spans="1:11" x14ac:dyDescent="0.25">
      <c r="A14" t="s">
        <v>57</v>
      </c>
      <c r="B14" s="21">
        <f>1/(1+Assumptions!$B$26)^(1-0.5*Assumptions!$B$32)</f>
        <v>0.9642917106720448</v>
      </c>
      <c r="C14" s="21">
        <f>1/(1+Assumptions!$B$26)^(2-0.5*Assumptions!$B$32)</f>
        <v>0.8966548468019643</v>
      </c>
      <c r="D14" s="21">
        <f>1/(1+Assumptions!$B$26)^(3-0.5*Assumptions!$B$32)</f>
        <v>0.8337621337977995</v>
      </c>
      <c r="E14" s="21">
        <f>1/(1+Assumptions!$B$26)^(4-0.5*Assumptions!$B$32)</f>
        <v>0.7752808098171056</v>
      </c>
      <c r="F14" s="21">
        <f>1/(1+Assumptions!$B$26)^(5-0.5*Assumptions!$B$32)</f>
        <v>0.7209014534311217</v>
      </c>
      <c r="G14" s="21">
        <f>1/(1+Assumptions!$B$26)^(6-0.5*Assumptions!$B$32)</f>
        <v>0.6703363464932203</v>
      </c>
      <c r="H14" s="21">
        <f>1/(1+Assumptions!$B$26)^(7-0.5*Assumptions!$B$32)</f>
        <v>0.6233179518382145</v>
      </c>
      <c r="I14" s="21">
        <f>1/(1+Assumptions!$B$26)^(8-0.5*Assumptions!$B$32)</f>
        <v>0.5795974977581141</v>
      </c>
      <c r="J14" s="21">
        <f>1/(1+Assumptions!$B$26)^(9-0.5*Assumptions!$B$32)</f>
        <v>0.5389436617648714</v>
      </c>
      <c r="K14" s="21">
        <f>1/(1+Assumptions!$B$26)^(10-0.5*Assumptions!$B$32)</f>
        <v>0.5011413466759774</v>
      </c>
    </row>
    <row r="15" spans="1:11" x14ac:dyDescent="0.25">
      <c r="A15" s="19" t="s">
        <v>58</v>
      </c>
      <c r="B15" s="20">
        <f>B13*B14</f>
        <v>7916312402.930793</v>
      </c>
      <c r="C15" s="20">
        <f>C13*C14</f>
        <v>7813441446.917579</v>
      </c>
      <c r="D15" s="20">
        <f>D13*D14</f>
        <v>7385177727.234268</v>
      </c>
      <c r="E15" s="20">
        <f>E13*E14</f>
        <v>6980579935.30595</v>
      </c>
      <c r="F15" s="20">
        <f>F13*F14</f>
        <v>6598323569.706216</v>
      </c>
      <c r="G15" s="20">
        <f>G13*G14</f>
        <v>6237159362.261089</v>
      </c>
      <c r="H15" s="20">
        <f>H13*H14</f>
        <v>5895908937.04133</v>
      </c>
      <c r="I15" s="20">
        <f>I13*I14</f>
        <v>5573460723.873432</v>
      </c>
      <c r="J15" s="20">
        <f>J13*J14</f>
        <v>5268766111.2066965</v>
      </c>
      <c r="K15" s="20">
        <f>K13*K14</f>
        <v>4980835824.09124</v>
      </c>
    </row>
    <row r="17" spans="1:2" x14ac:dyDescent="0.25">
      <c r="A17" s="22" t="s">
        <v>59</v>
      </c>
      <c r="B17" s="23">
        <f>SUM(B15:K15)</f>
        <v>64649966040.568596</v>
      </c>
    </row>
    <row r="19" spans="1:11" x14ac:dyDescent="0.25">
      <c r="A19" t="s">
        <v>7</v>
      </c>
      <c r="B19" s="9">
        <f>Assumptions!$B$10+($B$20-Assumptions!$B$10)*0/9</f>
        <v>0.022564715621262343</v>
      </c>
      <c r="C19" s="9">
        <f>Assumptions!$B$10+($B$20-Assumptions!$B$10)*1/9</f>
        <v>0.02326696269692828</v>
      </c>
      <c r="D19" s="9">
        <f>Assumptions!$B$10+($B$20-Assumptions!$B$10)*2/9</f>
        <v>0.023969209772594216</v>
      </c>
      <c r="E19" s="9">
        <f>Assumptions!$B$10+($B$20-Assumptions!$B$10)*3/9</f>
        <v>0.024671456848260154</v>
      </c>
      <c r="F19" s="9">
        <f>Assumptions!$B$10+($B$20-Assumptions!$B$10)*4/9</f>
        <v>0.02537370392392609</v>
      </c>
      <c r="G19" s="9">
        <f>Assumptions!$B$10+($B$20-Assumptions!$B$10)*5/9</f>
        <v>0.026075950999592028</v>
      </c>
      <c r="H19" s="9">
        <f>Assumptions!$B$10+($B$20-Assumptions!$B$10)*6/9</f>
        <v>0.026778198075257963</v>
      </c>
      <c r="I19" s="9">
        <f>Assumptions!$B$10+($B$20-Assumptions!$B$10)*7/9</f>
        <v>0.0274804451509239</v>
      </c>
      <c r="J19" s="9">
        <f>Assumptions!$B$10+($B$20-Assumptions!$B$10)*8/9</f>
        <v>0.028182692226589836</v>
      </c>
      <c r="K19" s="9">
        <f>Assumptions!$B$10+($B$20-Assumptions!$B$10)*9/9</f>
        <v>0.028884939302255774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0.028884939302255774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9938983995.490788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10900640858.748934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0.06279462914029724</v>
      </c>
    </row>
    <row r="7" spans="1:2" x14ac:dyDescent="0.25">
      <c r="A7" t="s">
        <v>66</v>
      </c>
      <c r="B7" s="18">
        <f>-MAX(B5,0)*B6</f>
        <v>-684501700.1167105</v>
      </c>
    </row>
    <row r="8" spans="1:2" x14ac:dyDescent="0.25">
      <c r="A8" t="s">
        <v>67</v>
      </c>
      <c r="B8" s="18">
        <f>IF(OR(Assumptions!$B$33=0,Assumptions!B12&lt;=0),B5,MAX(B5+B7,0))</f>
        <v>10216139158.632223</v>
      </c>
    </row>
    <row r="9" spans="1:2" x14ac:dyDescent="0.25">
      <c r="A9" t="s">
        <v>68</v>
      </c>
      <c r="B9" s="18">
        <f>B8*(1+Assumptions!B12)/(Assumptions!B26-Assumptions!B12)</f>
        <v>207635054349.79968</v>
      </c>
    </row>
    <row r="10" spans="1:2" x14ac:dyDescent="0.25">
      <c r="A10" t="s">
        <v>69</v>
      </c>
      <c r="B10" s="18">
        <f>B9/(1+Assumptions!B26)^(10-0.5*Assumptions!B32)</f>
        <v>104054510753.99838</v>
      </c>
    </row>
    <row r="11" spans="1:2" x14ac:dyDescent="0.25">
      <c r="A11" t="s">
        <v>70</v>
      </c>
      <c r="B11" s="18">
        <f>Forecast!B17+B10</f>
        <v>168704476794.567</v>
      </c>
    </row>
    <row r="12" spans="1:2" x14ac:dyDescent="0.25">
      <c r="A12" t="s">
        <v>71</v>
      </c>
      <c r="B12" s="18">
        <f>-Assumptions!B30</f>
        <v>-43695000000</v>
      </c>
    </row>
    <row r="13" spans="1:2" x14ac:dyDescent="0.25">
      <c r="A13" t="s">
        <v>72</v>
      </c>
      <c r="B13" s="18">
        <f>B11+B12</f>
        <v>125009476794.56699</v>
      </c>
    </row>
    <row r="14" spans="1:2" x14ac:dyDescent="0.25">
      <c r="A14" s="19" t="s">
        <v>73</v>
      </c>
      <c r="B14" s="24">
        <f>B13/Assumptions!B31</f>
        <v>223.23120856172676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16426759688.197468</v>
      </c>
    </row>
    <row r="18" spans="1:2" x14ac:dyDescent="0.25">
      <c r="A18" t="s">
        <v>68</v>
      </c>
      <c r="B18" s="18">
        <f>B17*Assumptions!B13</f>
        <v>214191227841.11865</v>
      </c>
    </row>
    <row r="19" spans="1:2" x14ac:dyDescent="0.25">
      <c r="A19" t="s">
        <v>69</v>
      </c>
      <c r="B19" s="18">
        <f>B18/(1+Assumptions!B26)^(10-0.5*Assumptions!B32)</f>
        <v>107340080366.47931</v>
      </c>
    </row>
    <row r="20" spans="1:2" x14ac:dyDescent="0.25">
      <c r="A20" t="s">
        <v>70</v>
      </c>
      <c r="B20" s="18">
        <f>Forecast!B17+B19</f>
        <v>171990046407.0479</v>
      </c>
    </row>
    <row r="21" spans="1:2" x14ac:dyDescent="0.25">
      <c r="A21" t="s">
        <v>71</v>
      </c>
      <c r="B21" s="18">
        <f>-Assumptions!B30</f>
        <v>-43695000000</v>
      </c>
    </row>
    <row r="22" spans="1:2" x14ac:dyDescent="0.25">
      <c r="A22" t="s">
        <v>72</v>
      </c>
      <c r="B22" s="18">
        <f>B20+B21</f>
        <v>128295046407.04791</v>
      </c>
    </row>
    <row r="23" spans="1:2" x14ac:dyDescent="0.25">
      <c r="A23" s="19" t="s">
        <v>73</v>
      </c>
      <c r="B23" s="25">
        <f>B22/Assumptions!B31</f>
        <v>229.0982971554427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209.07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223.23120856172676</v>
      </c>
    </row>
    <row r="29" spans="1:2" x14ac:dyDescent="0.25">
      <c r="A29" s="19" t="s">
        <v>81</v>
      </c>
      <c r="B29" s="11">
        <f>B28/B26-1</f>
        <v>0.06773429263752218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0.055432</v>
      </c>
      <c r="B5" s="31">
        <v>331.1726299482612</v>
      </c>
      <c r="C5" s="31">
        <v>367.49478441499</v>
      </c>
      <c r="D5" s="31">
        <v>415.96511003575176</v>
      </c>
      <c r="E5" s="31">
        <v>483.7486967488329</v>
      </c>
      <c r="F5" s="31">
        <v>585.0242307516093</v>
      </c>
    </row>
    <row r="6" spans="1:6" x14ac:dyDescent="0.25">
      <c r="A6" s="30">
        <v>0.065432</v>
      </c>
      <c r="B6" s="31">
        <v>250.4438586528668</v>
      </c>
      <c r="C6" s="31">
        <v>270.54442892781793</v>
      </c>
      <c r="D6" s="31">
        <v>295.7676624564834</v>
      </c>
      <c r="E6" s="31">
        <v>328.28221889131646</v>
      </c>
      <c r="F6" s="31">
        <v>371.6820073934801</v>
      </c>
    </row>
    <row r="7" spans="1:6" x14ac:dyDescent="0.25">
      <c r="A7" s="30">
        <v>0.075432</v>
      </c>
      <c r="B7" s="31">
        <v>196.48988639665353</v>
      </c>
      <c r="C7" s="31">
        <v>208.6035280557684</v>
      </c>
      <c r="D7" s="32">
        <v>223.23377338274187</v>
      </c>
      <c r="E7" s="31">
        <v>241.21151371006823</v>
      </c>
      <c r="F7" s="31">
        <v>263.7786471631256</v>
      </c>
    </row>
    <row r="8" spans="1:6" x14ac:dyDescent="0.25">
      <c r="A8" s="30">
        <v>0.085432</v>
      </c>
      <c r="B8" s="31">
        <v>157.9012682525117</v>
      </c>
      <c r="C8" s="31">
        <v>165.61740104425562</v>
      </c>
      <c r="D8" s="31">
        <v>174.70089337775704</v>
      </c>
      <c r="E8" s="31">
        <v>185.52175523148293</v>
      </c>
      <c r="F8" s="31">
        <v>198.5967327745988</v>
      </c>
    </row>
    <row r="9" spans="1:6" x14ac:dyDescent="0.25">
      <c r="A9" s="30">
        <v>0.095432</v>
      </c>
      <c r="B9" s="31">
        <v>128.9430900389534</v>
      </c>
      <c r="C9" s="31">
        <v>134.0451418797755</v>
      </c>
      <c r="D9" s="31">
        <v>139.94516215772535</v>
      </c>
      <c r="E9" s="31">
        <v>146.8260816491343</v>
      </c>
      <c r="F9" s="31">
        <v>154.93137216036135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86286000000</v>
      </c>
      <c r="C5" s="18">
        <v>83674000000</v>
      </c>
      <c r="D5" s="18">
        <v>86377000000</v>
      </c>
      <c r="E5" s="18">
        <v>97059000000</v>
      </c>
      <c r="F5" s="6" t="s">
        <v>91</v>
      </c>
    </row>
    <row r="6" spans="1:6" x14ac:dyDescent="0.25">
      <c r="A6" t="s">
        <v>51</v>
      </c>
      <c r="B6" s="18">
        <v>10153000000</v>
      </c>
      <c r="C6" s="18">
        <v>10466000000</v>
      </c>
      <c r="D6" s="18">
        <v>11557000000</v>
      </c>
      <c r="E6" s="18">
        <v>10159000000</v>
      </c>
      <c r="F6" s="6" t="s">
        <v>92</v>
      </c>
    </row>
    <row r="7" spans="1:6" x14ac:dyDescent="0.25">
      <c r="A7" t="s">
        <v>93</v>
      </c>
      <c r="B7" s="18">
        <v>2194000000</v>
      </c>
      <c r="C7" s="18">
        <v>1972000000</v>
      </c>
      <c r="D7" s="18">
        <v>1923000000</v>
      </c>
      <c r="E7" s="18">
        <v>1981000000</v>
      </c>
      <c r="F7" s="6" t="s">
        <v>94</v>
      </c>
    </row>
    <row r="8" spans="1:6" x14ac:dyDescent="0.25">
      <c r="A8" t="s">
        <v>95</v>
      </c>
      <c r="B8" s="18">
        <v>2213000000</v>
      </c>
      <c r="C8" s="18">
        <v>1927000000</v>
      </c>
      <c r="D8" s="18">
        <v>1964000000</v>
      </c>
      <c r="E8" s="18">
        <v>1829000000</v>
      </c>
      <c r="F8" s="6" t="s">
        <v>96</v>
      </c>
    </row>
    <row r="9" spans="1:6" x14ac:dyDescent="0.25">
      <c r="A9" t="s">
        <v>97</v>
      </c>
      <c r="B9" s="18">
        <v>112000000</v>
      </c>
      <c r="C9" s="18">
        <v>-118000000</v>
      </c>
      <c r="D9" s="18">
        <v>2228000000</v>
      </c>
      <c r="E9" s="18">
        <v>2882000000</v>
      </c>
      <c r="F9" s="6" t="s">
        <v>98</v>
      </c>
    </row>
    <row r="10" spans="1:6" x14ac:dyDescent="0.25">
      <c r="A10" t="s">
        <v>99</v>
      </c>
      <c r="B10" s="18">
        <v>44677000000</v>
      </c>
      <c r="C10" s="18">
        <v>39678000000</v>
      </c>
      <c r="D10" s="18">
        <v>40145000000</v>
      </c>
      <c r="E10" s="18">
        <v>37994000000</v>
      </c>
      <c r="F10" s="6" t="s">
        <v>100</v>
      </c>
    </row>
    <row r="11" spans="1:6" x14ac:dyDescent="0.25">
      <c r="A11" t="s">
        <v>101</v>
      </c>
      <c r="B11" s="18">
        <v>982000000</v>
      </c>
      <c r="C11" s="18">
        <v>1761000000</v>
      </c>
      <c r="D11" s="18">
        <v>921000000</v>
      </c>
      <c r="E11" s="18">
        <v>1348000000</v>
      </c>
      <c r="F11" s="6" t="s">
        <v>102</v>
      </c>
    </row>
    <row r="12" spans="1:6" x14ac:dyDescent="0.25">
      <c r="A12" t="s">
        <v>34</v>
      </c>
      <c r="B12" s="34">
        <v>560000000</v>
      </c>
      <c r="C12" s="34">
        <v>568000000</v>
      </c>
      <c r="D12" s="34">
        <v>584000000</v>
      </c>
      <c r="E12" s="34">
        <v>631000000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