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<sst xmlns="http://schemas.openxmlformats.org/spreadsheetml/2006/main" count="121" uniqueCount="108">
  <si>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Lam Research Corporation (LRCX)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</si>
  <si>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</si>
  <si>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</si>
  <si>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</si>
  <si>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</si>
  <si>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</si>
  <si>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</si>
  <si>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</si>
  <si>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</si>
  <si>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</si>
  <si>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</si>
  <si>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</si>
  <si>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</si>
  <si>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</si>
  <si>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</si>
  <si>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</si>
  <si>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</si>
  <si>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</si>
  <si>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</si>
  <si>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</si>
  <si>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</si>
  <si>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</si>
  <si>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</si>
  <si>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</si>
  <si>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52.3x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</si>
  <si>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</si>
  <si>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</si>
  <si>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</si>
  <si>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</si>
  <si>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</si>
  <si>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</si>
  <si>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</si>
  <si>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</si>
  <si>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</si>
  <si>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</si>
  <si>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</si>
  <si>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</si>
  <si>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</si>
  <si>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</si>
  <si>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</si>
  <si>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</si>
  <si>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</si>
  <si>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</si>
  <si>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</si>
  <si>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</si>
  <si>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</si>
  <si>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</si>
  <si>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</si>
  <si>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</si>
  <si>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</si>
  <si>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</si>
  <si>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</si>
  <si>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</si>
  <si>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</si>
  <si>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</si>
  <si>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</si>
  <si>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</si>
  <si>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</si>
  <si>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</si>
  <si>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</si>
  <si>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</si>
  <si>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</si>
  <si>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</si>
  <si>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</si>
  <si>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</si>
  <si>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</si>
  <si>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</si>
  <si>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</si>
  <si>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</si>
  <si>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</si>
  <si>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</si>
  <si>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</si>
  <si>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</si>
  <si>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</si>
  <si>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</si>
  <si>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</si>
  <si>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</si>
  <si>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</si>
  <si>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</si>
  <si>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</si>
  <si>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</si>
  <si>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</si>
  <si>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</si>
  <si>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</si>
  <si>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</si>
  <si>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</si>
  <si>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</si>
  <si>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</si>
  <si>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</si>
  <si>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</si>
  <si>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</si>
  <si>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</si>
  <si>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</si>
  <si>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</si>
  <si>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</si>
  <si>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</si>
  <si>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</si>
  <si>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</si>
  <si>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</si>
  <si>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</si>
  <si>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</si>
  <si>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</si>
  <si>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</si>
  <si>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</si>
  <si>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</si>
  <si>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3.5% of revenue against depreciation of 2.1%.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</si>
  <si>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34.4x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</si>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</sst>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0.3149126937831866</v>
      </c>
    </row>
    <row r="8" spans="1:2" x14ac:dyDescent="0.25">
      <c r="A8" t="s">
        <v>5</v>
      </c>
      <c r="B8" s="5">
        <v>0.11888675701073338</v>
      </c>
    </row>
    <row r="9" spans="1:2" x14ac:dyDescent="0.25">
      <c r="A9" t="s">
        <v>6</v>
      </c>
      <c r="B9" s="5">
        <v>0.020934387976895646</v>
      </c>
    </row>
    <row r="10" spans="1:3" x14ac:dyDescent="0.25">
      <c r="A10" t="s">
        <v>7</v>
      </c>
      <c r="B10" s="5">
        <v>0.03454208517773138</v>
      </c>
      <c r="C10" s="6" t="s">
        <v>8</v>
      </c>
    </row>
    <row r="11" spans="1:2" x14ac:dyDescent="0.25">
      <c r="A11" t="s">
        <v>9</v>
      </c>
      <c r="B11" s="5">
        <v>0.3906923320004528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0.35584851383629473</v>
      </c>
      <c r="C14" s="6" t="s">
        <v>13</v>
      </c>
    </row>
    <row r="15" spans="1:3" x14ac:dyDescent="0.25">
      <c r="A15" t="s">
        <v>14</v>
      </c>
      <c r="B15" s="5">
        <v>0.020934387976895646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1.57218</v>
      </c>
      <c r="C19" s="6" t="s">
        <v>21</v>
      </c>
    </row>
    <row r="20" spans="1:2" x14ac:dyDescent="0.25">
      <c r="A20" t="s">
        <v>22</v>
      </c>
      <c r="B20" s="9">
        <f>B17+B19*B18</f>
        <v>0.11544321399999999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299228069888</v>
      </c>
    </row>
    <row r="23" spans="1:2" x14ac:dyDescent="0.25">
      <c r="A23" t="s">
        <v>26</v>
      </c>
      <c r="B23" s="10">
        <v>3734563000</v>
      </c>
    </row>
    <row r="24" spans="1:2" x14ac:dyDescent="0.25">
      <c r="A24" t="s">
        <v>27</v>
      </c>
      <c r="B24" s="9">
        <f>B22/(B22+B23)</f>
        <v>0.9876731893818054</v>
      </c>
    </row>
    <row r="25" spans="1:2" x14ac:dyDescent="0.25">
      <c r="A25" t="s">
        <v>28</v>
      </c>
      <c r="B25" s="9">
        <f>1-B24</f>
        <v>0.012326810618194628</v>
      </c>
    </row>
    <row r="26" spans="1:2" x14ac:dyDescent="0.25">
      <c r="A26" t="s">
        <v>29</v>
      </c>
      <c r="B26" s="11">
        <f>B24*B20+B25*B21*(1-B8)</f>
        <v>0.11459516543711563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23232690000</v>
      </c>
      <c r="C29" s="6" t="s">
        <v>32</v>
      </c>
    </row>
    <row r="30" spans="1:2" x14ac:dyDescent="0.25">
      <c r="A30" t="s">
        <v>33</v>
      </c>
      <c r="B30" s="10">
        <v>-1844608000</v>
      </c>
    </row>
    <row r="31" spans="1:2" x14ac:dyDescent="0.25">
      <c r="A31" t="s">
        <v>34</v>
      </c>
      <c r="B31" s="12">
        <v>1261102000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0.20356785099558072</v>
      </c>
      <c r="D5" s="5">
        <v>0.18124686962113312</v>
      </c>
      <c r="E5" s="5">
        <v>0.15892588824668555</v>
      </c>
      <c r="F5" s="5">
        <v>0.13660490687223795</v>
      </c>
      <c r="G5" s="5">
        <v>0.11428392549779036</v>
      </c>
      <c r="H5" s="5">
        <v>0.09196294412334277</v>
      </c>
      <c r="I5" s="5">
        <v>0.06964196274889517</v>
      </c>
      <c r="J5" s="5">
        <v>0.047320981374447596</v>
      </c>
      <c r="K5" s="5">
        <v>0.024999999999999994</v>
      </c>
    </row>
    <row r="6" spans="1:11" x14ac:dyDescent="0.25">
      <c r="A6" t="s">
        <v>50</v>
      </c>
      <c r="B6" s="18">
        <f>Assumptions!B29*(1+B5)</f>
        <v>34849035000</v>
      </c>
      <c r="C6" s="18">
        <f>B6*(1+C5)</f>
        <v>41943178164.21978</v>
      </c>
      <c r="D6" s="18">
        <f>C6*(1+D5)</f>
        <v>49545247908.44608</v>
      </c>
      <c r="E6" s="18">
        <f>D6*(1+E5)</f>
        <v>57419270440.69811</v>
      </c>
      <c r="F6" s="18">
        <f>E6*(1+F5)</f>
        <v>65263024531.921524</v>
      </c>
      <c r="G6" s="18">
        <f>F6*(1+G5)</f>
        <v>72721539165.2881</v>
      </c>
      <c r="H6" s="18">
        <f>G6*(1+H5)</f>
        <v>79409226008.10896</v>
      </c>
      <c r="I6" s="18">
        <f>H6*(1+I5)</f>
        <v>84939440367.68428</v>
      </c>
      <c r="J6" s="18">
        <f>I6*(1+J5)</f>
        <v>88958858043.27946</v>
      </c>
      <c r="K6" s="18">
        <f>J6*(1+K5)</f>
        <v>91182829494.36145</v>
      </c>
    </row>
    <row r="7" spans="1:11" x14ac:dyDescent="0.25">
      <c r="A7" t="s">
        <v>4</v>
      </c>
      <c r="B7" s="9">
        <f>Assumptions!B7</f>
        <v>0.3149126937831866</v>
      </c>
      <c r="C7" s="9">
        <f>Assumptions!B7</f>
        <v>0.3149126937831866</v>
      </c>
      <c r="D7" s="9">
        <f>Assumptions!B7</f>
        <v>0.3149126937831866</v>
      </c>
      <c r="E7" s="9">
        <f>Assumptions!B7</f>
        <v>0.3149126937831866</v>
      </c>
      <c r="F7" s="9">
        <f>Assumptions!B7</f>
        <v>0.3149126937831866</v>
      </c>
      <c r="G7" s="9">
        <f>Assumptions!B7</f>
        <v>0.3149126937831866</v>
      </c>
      <c r="H7" s="9">
        <f>Assumptions!B7</f>
        <v>0.3149126937831866</v>
      </c>
      <c r="I7" s="9">
        <f>Assumptions!B7</f>
        <v>0.3149126937831866</v>
      </c>
      <c r="J7" s="9">
        <f>Assumptions!B7</f>
        <v>0.3149126937831866</v>
      </c>
      <c r="K7" s="9">
        <f>Assumptions!B7</f>
        <v>0.3149126937831866</v>
      </c>
    </row>
    <row r="8" spans="1:11" x14ac:dyDescent="0.25">
      <c r="A8" t="s">
        <v>51</v>
      </c>
      <c r="B8" s="18">
        <f>B6*B7</f>
        <v>10974403487.594551</v>
      </c>
      <c r="C8" s="18">
        <f>C6*C7</f>
        <v>13208439221.522581</v>
      </c>
      <c r="D8" s="18">
        <f>D6*D7</f>
        <v>15602427483.004547</v>
      </c>
      <c r="E8" s="18">
        <f>E6*E7</f>
        <v>18082057129.545544</v>
      </c>
      <c r="F8" s="18">
        <f>F6*F7</f>
        <v>20552154859.7856</v>
      </c>
      <c r="G8" s="18">
        <f>G6*G7</f>
        <v>22900935794.600384</v>
      </c>
      <c r="H8" s="18">
        <f>H6*H7</f>
        <v>25006973273.451473</v>
      </c>
      <c r="I8" s="18">
        <f>I6*I7</f>
        <v>26748507974.6238</v>
      </c>
      <c r="J8" s="18">
        <f>J6*J7</f>
        <v>28014273622.285233</v>
      </c>
      <c r="K8" s="18">
        <f>K6*K7</f>
        <v>28714630462.84236</v>
      </c>
    </row>
    <row r="9" spans="1:11" x14ac:dyDescent="0.25">
      <c r="A9" t="s">
        <v>52</v>
      </c>
      <c r="B9" s="18">
        <f>B8*(1-Assumptions!B8)</f>
        <v>9669692246.827152</v>
      </c>
      <c r="C9" s="18">
        <f>C8*(1-Assumptions!B8)</f>
        <v>11638130717.302385</v>
      </c>
      <c r="D9" s="18">
        <f>D8*(1-Assumptions!B8)</f>
        <v>13747505478.054996</v>
      </c>
      <c r="E9" s="18">
        <f>E8*(1-Assumptions!B8)</f>
        <v>15932339997.331064</v>
      </c>
      <c r="F9" s="18">
        <f>F8*(1-Assumptions!B8)</f>
        <v>18108775818.923306</v>
      </c>
      <c r="G9" s="18">
        <f>G8*(1-Assumptions!B8)</f>
        <v>20178317805.469322</v>
      </c>
      <c r="H9" s="18">
        <f>H8*(1-Assumptions!B8)</f>
        <v>22033975318.316746</v>
      </c>
      <c r="I9" s="18">
        <f>I8*(1-Assumptions!B8)</f>
        <v>23568464606.645035</v>
      </c>
      <c r="J9" s="18">
        <f>J8*(1-Assumptions!B8)</f>
        <v>24683747481.32041</v>
      </c>
      <c r="K9" s="18">
        <f>K8*(1-Assumptions!B8)</f>
        <v>25300841168.35342</v>
      </c>
    </row>
    <row r="10" spans="1:11" x14ac:dyDescent="0.25">
      <c r="A10" t="s">
        <v>53</v>
      </c>
      <c r="B10" s="18">
        <f>B6*Assumptions!B9</f>
        <v>729543219.3104156</v>
      </c>
      <c r="C10" s="18">
        <f>C6*Assumptions!B9</f>
        <v>878054764.6738346</v>
      </c>
      <c r="D10" s="18">
        <f>D6*Assumptions!B9</f>
        <v>1037199442.1268878</v>
      </c>
      <c r="E10" s="18">
        <f>E6*Assumptions!B9</f>
        <v>1202037284.75587</v>
      </c>
      <c r="F10" s="18">
        <f>F6*Assumptions!B9</f>
        <v>1366241476.0969036</v>
      </c>
      <c r="G10" s="18">
        <f>G6*Assumptions!B9</f>
        <v>1522380915.1631532</v>
      </c>
      <c r="H10" s="18">
        <f>H6*Assumptions!B9</f>
        <v>1662383546.1987453</v>
      </c>
      <c r="I10" s="18">
        <f>I6*Assumptions!B9</f>
        <v>1778155199.1974945</v>
      </c>
      <c r="J10" s="18">
        <f>J6*Assumptions!B9</f>
        <v>1862299248.259596</v>
      </c>
      <c r="K10" s="18">
        <f>K6*Assumptions!B9</f>
        <v>1908856729.4660861</v>
      </c>
    </row>
    <row r="11" spans="1:11" x14ac:dyDescent="0.25">
      <c r="A11" t="s">
        <v>54</v>
      </c>
      <c r="B11" s="18">
        <f>-B6*B19</f>
        <v>-1203758335.331742</v>
      </c>
      <c r="C11" s="18">
        <f>-C6*C19</f>
        <v>-1476236200.9636335</v>
      </c>
      <c r="D11" s="18">
        <f>-D6*D19</f>
        <v>-1776202609.01401</v>
      </c>
      <c r="E11" s="18">
        <f>-E6*E19</f>
        <v>-2096040114.3335688</v>
      </c>
      <c r="F11" s="18">
        <f>-F6*F19</f>
        <v>-2425052321.157439</v>
      </c>
      <c r="G11" s="18">
        <f>-G6*G19</f>
        <v>-2749757624.920272</v>
      </c>
      <c r="H11" s="18">
        <f>-H6*H19</f>
        <v>-3054568068.3462954</v>
      </c>
      <c r="I11" s="18">
        <f>-I6*I19</f>
        <v>-3322845650.617141</v>
      </c>
      <c r="J11" s="18">
        <f>-J6*J19</f>
        <v>-3538266184.3195133</v>
      </c>
      <c r="K11" s="18">
        <f>-K6*K19</f>
        <v>-3686357560.9008403</v>
      </c>
    </row>
    <row r="12" spans="1:11" x14ac:dyDescent="0.25">
      <c r="A12" t="s">
        <v>55</v>
      </c>
      <c r="B12" s="18">
        <f>-(B6-Assumptions!B29)*Assumptions!B11</f>
        <v>-4538416917.371799</v>
      </c>
      <c r="C12" s="18">
        <f>-(C6-B6)*Assumptions!B11</f>
        <v>-2771627336.374097</v>
      </c>
      <c r="D12" s="18">
        <f>-(D6-C6)*Assumptions!B11</f>
        <v>-2970070356.4018598</v>
      </c>
      <c r="E12" s="18">
        <f>-(E6-D6)*Assumptions!B11</f>
        <v>-3076320225.3496556</v>
      </c>
      <c r="F12" s="18">
        <f>-(F6-E6)*Assumptions!B11</f>
        <v>-3064494577.538167</v>
      </c>
      <c r="G12" s="18">
        <f>-(G6-F6)*Assumptions!B11</f>
        <v>-2913984475.36949</v>
      </c>
      <c r="H12" s="18">
        <f>-(H6-G6)*Assumptions!B11</f>
        <v>-2612827968.310428</v>
      </c>
      <c r="I12" s="18">
        <f>-(I6-H6)*Assumptions!B11</f>
        <v>-2160612344.6048713</v>
      </c>
      <c r="J12" s="18">
        <f>-(J6-I6)*Assumptions!B11</f>
        <v>-1570355664.962122</v>
      </c>
      <c r="K12" s="18">
        <f>-(K6-J6)*Assumptions!B11</f>
        <v>-868888592.5256518</v>
      </c>
    </row>
    <row r="13" spans="1:11" x14ac:dyDescent="0.25">
      <c r="A13" s="19" t="s">
        <v>56</v>
      </c>
      <c r="B13" s="20">
        <f>B9+B10+B11+B12</f>
        <v>4657060213.434027</v>
      </c>
      <c r="C13" s="20">
        <f>C9+C10+C11+C12</f>
        <v>8268321944.638488</v>
      </c>
      <c r="D13" s="20">
        <f>D9+D10+D11+D12</f>
        <v>10038431954.766016</v>
      </c>
      <c r="E13" s="20">
        <f>E9+E10+E11+E12</f>
        <v>11962016942.403711</v>
      </c>
      <c r="F13" s="20">
        <f>F9+F10+F11+F12</f>
        <v>13985470396.324604</v>
      </c>
      <c r="G13" s="20">
        <f>G9+G10+G11+G12</f>
        <v>16036956620.342714</v>
      </c>
      <c r="H13" s="20">
        <f>H9+H10+H11+H12</f>
        <v>18028962827.85877</v>
      </c>
      <c r="I13" s="20">
        <f>I9+I10+I11+I12</f>
        <v>19863161810.620518</v>
      </c>
      <c r="J13" s="20">
        <f>J9+J10+J11+J12</f>
        <v>21437424880.298378</v>
      </c>
      <c r="K13" s="20">
        <f>K9+K10+K11+K12</f>
        <v>22654451744.393017</v>
      </c>
    </row>
    <row r="14" spans="1:11" x14ac:dyDescent="0.25">
      <c r="A14" t="s">
        <v>57</v>
      </c>
      <c r="B14" s="21">
        <f>1/(1+Assumptions!$B$26)^(1-0.5*Assumptions!$B$32)</f>
        <v>0.9471994179684107</v>
      </c>
      <c r="C14" s="21">
        <f>1/(1+Assumptions!$B$26)^(2-0.5*Assumptions!$B$32)</f>
        <v>0.8498147554739692</v>
      </c>
      <c r="D14" s="21">
        <f>1/(1+Assumptions!$B$26)^(3-0.5*Assumptions!$B$32)</f>
        <v>0.7624425278578109</v>
      </c>
      <c r="E14" s="21">
        <f>1/(1+Assumptions!$B$26)^(4-0.5*Assumptions!$B$32)</f>
        <v>0.684053324023526</v>
      </c>
      <c r="F14" s="21">
        <f>1/(1+Assumptions!$B$26)^(5-0.5*Assumptions!$B$32)</f>
        <v>0.6137235699880843</v>
      </c>
      <c r="G14" s="21">
        <f>1/(1+Assumptions!$B$26)^(6-0.5*Assumptions!$B$32)</f>
        <v>0.5506246474229033</v>
      </c>
      <c r="H14" s="21">
        <f>1/(1+Assumptions!$B$26)^(7-0.5*Assumptions!$B$32)</f>
        <v>0.4940131309532125</v>
      </c>
      <c r="I14" s="21">
        <f>1/(1+Assumptions!$B$26)^(8-0.5*Assumptions!$B$32)</f>
        <v>0.4432220291925214</v>
      </c>
      <c r="J14" s="21">
        <f>1/(1+Assumptions!$B$26)^(9-0.5*Assumptions!$B$32)</f>
        <v>0.39765292631491106</v>
      </c>
      <c r="K14" s="21">
        <f>1/(1+Assumptions!$B$26)^(10-0.5*Assumptions!$B$32)</f>
        <v>0.3567689315779167</v>
      </c>
    </row>
    <row r="15" spans="1:11" x14ac:dyDescent="0.25">
      <c r="A15" s="19" t="s">
        <v>58</v>
      </c>
      <c r="B15" s="20">
        <f>B13*B14</f>
        <v>4411164723.608553</v>
      </c>
      <c r="C15" s="20">
        <f>C13*C14</f>
        <v>7026541991.56301</v>
      </c>
      <c r="D15" s="20">
        <f>D13*D14</f>
        <v>7653727435.320427</v>
      </c>
      <c r="E15" s="20">
        <f>E13*E14</f>
        <v>8182657451.4769945</v>
      </c>
      <c r="F15" s="20">
        <f>F13*F14</f>
        <v>8583212819.595004</v>
      </c>
      <c r="G15" s="20">
        <f>G13*G14</f>
        <v>8830343584.812601</v>
      </c>
      <c r="H15" s="20">
        <f>H13*H14</f>
        <v>8906544374.429594</v>
      </c>
      <c r="I15" s="20">
        <f>I13*I14</f>
        <v>8803790883.882624</v>
      </c>
      <c r="J15" s="20">
        <f>J13*J14</f>
        <v>8524654736.306732</v>
      </c>
      <c r="K15" s="20">
        <f>K13*K14</f>
        <v>8082404544.330568</v>
      </c>
    </row>
    <row r="17" spans="1:2" x14ac:dyDescent="0.25">
      <c r="A17" s="22" t="s">
        <v>59</v>
      </c>
      <c r="B17" s="23">
        <f>SUM(B15:K15)</f>
        <v>79005042545.32611</v>
      </c>
    </row>
    <row r="19" spans="1:11" x14ac:dyDescent="0.25">
      <c r="A19" t="s">
        <v>7</v>
      </c>
      <c r="B19" s="9">
        <f>Assumptions!$B$10+($B$20-Assumptions!$B$10)*0/9</f>
        <v>0.03454208517773138</v>
      </c>
      <c r="C19" s="9">
        <f>Assumptions!$B$10+($B$20-Assumptions!$B$10)*1/9</f>
        <v>0.035196097806030294</v>
      </c>
      <c r="D19" s="9">
        <f>Assumptions!$B$10+($B$20-Assumptions!$B$10)*2/9</f>
        <v>0.0358501104343292</v>
      </c>
      <c r="E19" s="9">
        <f>Assumptions!$B$10+($B$20-Assumptions!$B$10)*3/9</f>
        <v>0.03650412306262812</v>
      </c>
      <c r="F19" s="9">
        <f>Assumptions!$B$10+($B$20-Assumptions!$B$10)*4/9</f>
        <v>0.037158135690927026</v>
      </c>
      <c r="G19" s="9">
        <f>Assumptions!$B$10+($B$20-Assumptions!$B$10)*5/9</f>
        <v>0.03781214831922594</v>
      </c>
      <c r="H19" s="9">
        <f>Assumptions!$B$10+($B$20-Assumptions!$B$10)*6/9</f>
        <v>0.03846616094752485</v>
      </c>
      <c r="I19" s="9">
        <f>Assumptions!$B$10+($B$20-Assumptions!$B$10)*7/9</f>
        <v>0.039120173575823765</v>
      </c>
      <c r="J19" s="9">
        <f>Assumptions!$B$10+($B$20-Assumptions!$B$10)*8/9</f>
        <v>0.03977418620412267</v>
      </c>
      <c r="K19" s="9">
        <f>Assumptions!$B$10+($B$20-Assumptions!$B$10)*9/9</f>
        <v>0.04042819883242159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0.04042819883242159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22654451744.393017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25300841168.35342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0.07025461405046377</v>
      </c>
    </row>
    <row r="7" spans="1:2" x14ac:dyDescent="0.25">
      <c r="A7" t="s">
        <v>66</v>
      </c>
      <c r="B7" s="18">
        <f>-MAX(B5,0)*B6</f>
        <v>-1777500831.4347544</v>
      </c>
    </row>
    <row r="8" spans="1:2" x14ac:dyDescent="0.25">
      <c r="A8" t="s">
        <v>67</v>
      </c>
      <c r="B8" s="18">
        <f>IF(OR(Assumptions!$B$33=0,Assumptions!B12&lt;=0),B5,MAX(B5+B7,0))</f>
        <v>23523340336.918667</v>
      </c>
    </row>
    <row r="9" spans="1:2" x14ac:dyDescent="0.25">
      <c r="A9" t="s">
        <v>68</v>
      </c>
      <c r="B9" s="18">
        <f>B8*(1+Assumptions!B12)/(Assumptions!B26-Assumptions!B12)</f>
        <v>269115233257.3656</v>
      </c>
    </row>
    <row r="10" spans="1:2" x14ac:dyDescent="0.25">
      <c r="A10" t="s">
        <v>69</v>
      </c>
      <c r="B10" s="18">
        <f>B9/(1+Assumptions!B26)^(10-0.5*Assumptions!B32)</f>
        <v>96011954240.57217</v>
      </c>
    </row>
    <row r="11" spans="1:2" x14ac:dyDescent="0.25">
      <c r="A11" t="s">
        <v>70</v>
      </c>
      <c r="B11" s="18">
        <f>Forecast!B17+B10</f>
        <v>175016996785.8983</v>
      </c>
    </row>
    <row r="12" spans="1:2" x14ac:dyDescent="0.25">
      <c r="A12" t="s">
        <v>71</v>
      </c>
      <c r="B12" s="18">
        <f>-Assumptions!B30</f>
        <v>1844608000</v>
      </c>
    </row>
    <row r="13" spans="1:2" x14ac:dyDescent="0.25">
      <c r="A13" t="s">
        <v>72</v>
      </c>
      <c r="B13" s="18">
        <f>B11+B12</f>
        <v>176861604785.8983</v>
      </c>
    </row>
    <row r="14" spans="1:2" x14ac:dyDescent="0.25">
      <c r="A14" s="19" t="s">
        <v>73</v>
      </c>
      <c r="B14" s="24">
        <f>B13/Assumptions!B31</f>
        <v>140.24369542344576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30623487192.30845</v>
      </c>
    </row>
    <row r="18" spans="1:2" x14ac:dyDescent="0.25">
      <c r="A18" t="s">
        <v>68</v>
      </c>
      <c r="B18" s="18">
        <f>B17*Assumptions!B13</f>
        <v>612469743846.169</v>
      </c>
    </row>
    <row r="19" spans="1:2" x14ac:dyDescent="0.25">
      <c r="A19" t="s">
        <v>69</v>
      </c>
      <c r="B19" s="18">
        <f>B18/(1+Assumptions!B26)^(10-0.5*Assumptions!B32)</f>
        <v>218510176135.79803</v>
      </c>
    </row>
    <row r="20" spans="1:2" x14ac:dyDescent="0.25">
      <c r="A20" t="s">
        <v>70</v>
      </c>
      <c r="B20" s="18">
        <f>Forecast!B17+B19</f>
        <v>297515218681.12415</v>
      </c>
    </row>
    <row r="21" spans="1:2" x14ac:dyDescent="0.25">
      <c r="A21" t="s">
        <v>71</v>
      </c>
      <c r="B21" s="18">
        <f>-Assumptions!B30</f>
        <v>1844608000</v>
      </c>
    </row>
    <row r="22" spans="1:2" x14ac:dyDescent="0.25">
      <c r="A22" t="s">
        <v>72</v>
      </c>
      <c r="B22" s="18">
        <f>B20+B21</f>
        <v>299359826681.12415</v>
      </c>
    </row>
    <row r="23" spans="1:2" x14ac:dyDescent="0.25">
      <c r="A23" s="19" t="s">
        <v>73</v>
      </c>
      <c r="B23" s="25">
        <f>B22/Assumptions!B31</f>
        <v>237.3795511236396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239.11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140.24369542344576</v>
      </c>
    </row>
    <row r="29" spans="1:2" x14ac:dyDescent="0.25">
      <c r="A29" s="19" t="s">
        <v>81</v>
      </c>
      <c r="B29" s="11">
        <f>B28/B26-1</f>
        <v>-0.41347624347185086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0.094595</v>
      </c>
      <c r="B5" s="31">
        <v>175.6666036043256</v>
      </c>
      <c r="C5" s="31">
        <v>180.8931328982039</v>
      </c>
      <c r="D5" s="31">
        <v>186.94631620747177</v>
      </c>
      <c r="E5" s="31">
        <v>194.01811591669207</v>
      </c>
      <c r="F5" s="31">
        <v>202.3649167225557</v>
      </c>
    </row>
    <row r="6" spans="1:6" x14ac:dyDescent="0.25">
      <c r="A6" s="30">
        <v>0.104595</v>
      </c>
      <c r="B6" s="31">
        <v>153.038310646911</v>
      </c>
      <c r="C6" s="31">
        <v>156.55233879176146</v>
      </c>
      <c r="D6" s="31">
        <v>160.5704027104216</v>
      </c>
      <c r="E6" s="31">
        <v>165.1938568717854</v>
      </c>
      <c r="F6" s="31">
        <v>170.5531826845828</v>
      </c>
    </row>
    <row r="7" spans="1:6" x14ac:dyDescent="0.25">
      <c r="A7" s="30">
        <v>0.114595</v>
      </c>
      <c r="B7" s="31">
        <v>135.12467919754093</v>
      </c>
      <c r="C7" s="31">
        <v>137.5241412191189</v>
      </c>
      <c r="D7" s="32">
        <v>140.24399289266736</v>
      </c>
      <c r="E7" s="31">
        <v>143.34104425163463</v>
      </c>
      <c r="F7" s="31">
        <v>146.88638010387643</v>
      </c>
    </row>
    <row r="8" spans="1:6" x14ac:dyDescent="0.25">
      <c r="A8" s="30">
        <v>0.124595</v>
      </c>
      <c r="B8" s="31">
        <v>120.62390802950102</v>
      </c>
      <c r="C8" s="31">
        <v>122.2739044278906</v>
      </c>
      <c r="D8" s="31">
        <v>124.1343617501933</v>
      </c>
      <c r="E8" s="31">
        <v>126.23865294274553</v>
      </c>
      <c r="F8" s="31">
        <v>128.62760068598428</v>
      </c>
    </row>
    <row r="9" spans="1:6" x14ac:dyDescent="0.25">
      <c r="A9" s="30">
        <v>0.134595</v>
      </c>
      <c r="B9" s="31">
        <v>108.67047246842851</v>
      </c>
      <c r="C9" s="31">
        <v>109.80350735213284</v>
      </c>
      <c r="D9" s="31">
        <v>111.078501252316</v>
      </c>
      <c r="E9" s="31">
        <v>112.51581255367314</v>
      </c>
      <c r="F9" s="31">
        <v>114.13988787518717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23232690000</v>
      </c>
      <c r="C5" s="18">
        <v>18435591000</v>
      </c>
      <c r="D5" s="18">
        <v>14905386000</v>
      </c>
      <c r="E5" s="18">
        <v>17428516000</v>
      </c>
      <c r="F5" s="6" t="s">
        <v>91</v>
      </c>
    </row>
    <row r="6" spans="1:6" x14ac:dyDescent="0.25">
      <c r="A6" t="s">
        <v>51</v>
      </c>
      <c r="B6" s="18">
        <v>8199795000</v>
      </c>
      <c r="C6" s="18">
        <v>5900968000</v>
      </c>
      <c r="D6" s="18">
        <v>4282100000</v>
      </c>
      <c r="E6" s="18">
        <v>5217010000</v>
      </c>
      <c r="F6" s="6" t="s">
        <v>92</v>
      </c>
    </row>
    <row r="7" spans="1:6" x14ac:dyDescent="0.25">
      <c r="A7" t="s">
        <v>93</v>
      </c>
      <c r="B7" s="18">
        <v>441533000</v>
      </c>
      <c r="C7" s="18">
        <v>386277000</v>
      </c>
      <c r="D7" s="18">
        <v>359699000</v>
      </c>
      <c r="E7" s="18">
        <v>342432000</v>
      </c>
      <c r="F7" s="6" t="s">
        <v>94</v>
      </c>
    </row>
    <row r="8" spans="1:6" x14ac:dyDescent="0.25">
      <c r="A8" t="s">
        <v>95</v>
      </c>
      <c r="B8" s="18">
        <v>966405000</v>
      </c>
      <c r="C8" s="18">
        <v>759186000</v>
      </c>
      <c r="D8" s="18">
        <v>396670000</v>
      </c>
      <c r="E8" s="18">
        <v>501568000</v>
      </c>
      <c r="F8" s="6" t="s">
        <v>96</v>
      </c>
    </row>
    <row r="9" spans="1:6" x14ac:dyDescent="0.25">
      <c r="A9" t="s">
        <v>97</v>
      </c>
      <c r="B9" s="18">
        <v>1913879000</v>
      </c>
      <c r="C9" s="18">
        <v>-441801000</v>
      </c>
      <c r="D9" s="18">
        <v>-360478000</v>
      </c>
      <c r="E9" s="18">
        <v>-158738000</v>
      </c>
      <c r="F9" s="6" t="s">
        <v>98</v>
      </c>
    </row>
    <row r="10" spans="1:6" x14ac:dyDescent="0.25">
      <c r="A10" t="s">
        <v>99</v>
      </c>
      <c r="B10" s="18">
        <v>3734563000</v>
      </c>
      <c r="C10" s="18">
        <v>4484505000</v>
      </c>
      <c r="D10" s="18">
        <v>4983334000</v>
      </c>
      <c r="E10" s="18">
        <v>5011541000</v>
      </c>
      <c r="F10" s="6" t="s">
        <v>100</v>
      </c>
    </row>
    <row r="11" spans="1:6" x14ac:dyDescent="0.25">
      <c r="A11" t="s">
        <v>101</v>
      </c>
      <c r="B11" s="18">
        <v>5579171000</v>
      </c>
      <c r="C11" s="18">
        <v>6390659000</v>
      </c>
      <c r="D11" s="18">
        <v>5847856000</v>
      </c>
      <c r="E11" s="18">
        <v>5337056000</v>
      </c>
      <c r="F11" s="6" t="s">
        <v>102</v>
      </c>
    </row>
    <row r="12" spans="1:6" x14ac:dyDescent="0.25">
      <c r="A12" t="s">
        <v>34</v>
      </c>
      <c r="B12" s="34">
        <v>1261102000</v>
      </c>
      <c r="C12" s="34">
        <v>1290142000</v>
      </c>
      <c r="D12" s="34">
        <v>1319950000</v>
      </c>
      <c r="E12" s="34">
        <v>1358340000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