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<sst xmlns="http://schemas.openxmlformats.org/spreadsheetml/2006/main" count="113" uniqueCount="101">
  <si>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London Stock Exchange Group plc (LSEG.L)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</si>
  <si>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</si>
  <si>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</si>
  <si>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</si>
  <si>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</si>
  <si>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</si>
  <si>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</si>
  <si>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</si>
  <si>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</si>
  <si>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</si>
  <si>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</si>
  <si>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</si>
  <si>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</si>
  <si>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</si>
  <si>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</si>
  <si>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</si>
  <si>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</si>
  <si>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</si>
  <si>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</si>
  <si>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</si>
  <si>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</si>
  <si>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</si>
  <si>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</si>
  <si>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</si>
  <si>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</si>
  <si>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</si>
  <si>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</si>
  <si>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</si>
  <si>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</si>
  <si>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</si>
  <si>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2025-12-31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</si>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</sst>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0.06472840191085583</v>
      </c>
    </row>
    <row r="7" spans="1:2" x14ac:dyDescent="0.25">
      <c r="A7" t="s">
        <v>5</v>
      </c>
      <c r="B7" s="6">
        <v>0.199221308411065</v>
      </c>
    </row>
    <row r="8" spans="1:2" x14ac:dyDescent="0.25">
      <c r="A8" t="s">
        <v>6</v>
      </c>
      <c r="B8" s="6">
        <v>0.22313240399438683</v>
      </c>
    </row>
    <row r="9" spans="1:2" x14ac:dyDescent="0.25">
      <c r="A9" t="s">
        <v>7</v>
      </c>
      <c r="B9" s="6">
        <v>0.254042826067605</v>
      </c>
    </row>
    <row r="10" spans="1:2" x14ac:dyDescent="0.25">
      <c r="A10" t="s">
        <v>8</v>
      </c>
      <c r="B10" s="6">
        <v>0.14296546124655962</v>
      </c>
    </row>
    <row r="11" spans="1:2" x14ac:dyDescent="0.25">
      <c r="A11" t="s">
        <v>9</v>
      </c>
      <c r="B11" s="6">
        <v>0.5676100628930818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11.031072798548095</v>
      </c>
    </row>
    <row r="14" spans="1:3" x14ac:dyDescent="0.25">
      <c r="A14" t="s">
        <v>12</v>
      </c>
      <c r="B14" s="6">
        <v>0.06809630818139824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0.5973299999999999</v>
      </c>
      <c r="C19" s="8" t="s">
        <v>19</v>
      </c>
    </row>
    <row r="20" spans="1:2" x14ac:dyDescent="0.25">
      <c r="A20" t="s">
        <v>20</v>
      </c>
      <c r="B20" s="10">
        <f>B17+B19*B18</f>
        <v>0.07785315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39797968896</v>
      </c>
    </row>
    <row r="23" spans="1:2" x14ac:dyDescent="0.25">
      <c r="A23" t="s">
        <v>24</v>
      </c>
      <c r="B23" s="11">
        <v>11718000000</v>
      </c>
    </row>
    <row r="24" spans="1:2" x14ac:dyDescent="0.25">
      <c r="A24" t="s">
        <v>25</v>
      </c>
      <c r="B24" s="10">
        <f>B22/(B22+B23)</f>
        <v>0.7725365502946048</v>
      </c>
    </row>
    <row r="25" spans="1:2" x14ac:dyDescent="0.25">
      <c r="A25" t="s">
        <v>26</v>
      </c>
      <c r="B25" s="10">
        <f>1-B24</f>
        <v>0.22746344970539523</v>
      </c>
    </row>
    <row r="26" spans="1:2" x14ac:dyDescent="0.25">
      <c r="A26" t="s">
        <v>27</v>
      </c>
      <c r="B26" s="12">
        <f>B24*B20+B25*B21*(1-B8)</f>
        <v>0.06809630818139824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9346000000</v>
      </c>
      <c r="C29" s="8" t="s">
        <v>30</v>
      </c>
    </row>
    <row r="30" spans="1:2" x14ac:dyDescent="0.25">
      <c r="A30" t="s">
        <v>31</v>
      </c>
      <c r="B30" s="11">
        <v>8827000000</v>
      </c>
    </row>
    <row r="31" spans="1:2" x14ac:dyDescent="0.25">
      <c r="A31" t="s">
        <v>32</v>
      </c>
      <c r="B31" s="13">
        <v>527000000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0.06472840191085583</v>
      </c>
      <c r="C5" s="10">
        <f>Assumptions!B6</f>
        <v>0.06472840191085583</v>
      </c>
      <c r="D5" s="10">
        <f>Assumptions!B6</f>
        <v>0.06472840191085583</v>
      </c>
      <c r="E5" s="10">
        <f>Assumptions!B6</f>
        <v>0.06472840191085583</v>
      </c>
      <c r="F5" s="10">
        <f>Assumptions!B6</f>
        <v>0.06472840191085583</v>
      </c>
    </row>
    <row r="6" spans="1:6" x14ac:dyDescent="0.25">
      <c r="A6" t="s">
        <v>43</v>
      </c>
      <c r="B6" s="18">
        <f>Assumptions!B29*(1+B5)</f>
        <v>9950951644.258858</v>
      </c>
      <c r="C6" s="18">
        <f>B6*(1+C5)</f>
        <v>10595060841.683937</v>
      </c>
      <c r="D6" s="18">
        <f>C6*(1+D5)</f>
        <v>11280862198.114426</v>
      </c>
      <c r="E6" s="18">
        <f>D6*(1+E5)</f>
        <v>12011054380.374956</v>
      </c>
      <c r="F6" s="18">
        <f>E6*(1+F5)</f>
        <v>12788510735.681011</v>
      </c>
    </row>
    <row r="7" spans="1:6" x14ac:dyDescent="0.25">
      <c r="A7" t="s">
        <v>5</v>
      </c>
      <c r="B7" s="10">
        <f>Assumptions!B7</f>
        <v>0.199221308411065</v>
      </c>
      <c r="C7" s="10">
        <f>Assumptions!B7</f>
        <v>0.199221308411065</v>
      </c>
      <c r="D7" s="10">
        <f>Assumptions!B7</f>
        <v>0.199221308411065</v>
      </c>
      <c r="E7" s="10">
        <f>Assumptions!B7</f>
        <v>0.199221308411065</v>
      </c>
      <c r="F7" s="10">
        <f>Assumptions!B7</f>
        <v>0.199221308411065</v>
      </c>
    </row>
    <row r="8" spans="1:6" x14ac:dyDescent="0.25">
      <c r="A8" t="s">
        <v>44</v>
      </c>
      <c r="B8" s="18">
        <f>B6*B7</f>
        <v>1982441606.5044882</v>
      </c>
      <c r="C8" s="18">
        <f>C6*C7</f>
        <v>2110761883.5751135</v>
      </c>
      <c r="D8" s="18">
        <f>D6*D7</f>
        <v>2247388127.113279</v>
      </c>
      <c r="E8" s="18">
        <f>E6*E7</f>
        <v>2392857969.0547523</v>
      </c>
      <c r="F8" s="18">
        <f>F6*F7</f>
        <v>2547743841.3913226</v>
      </c>
    </row>
    <row r="9" spans="1:6" x14ac:dyDescent="0.25">
      <c r="A9" t="s">
        <v>45</v>
      </c>
      <c r="B9" s="18">
        <f>B8*(1-Assumptions!B8)</f>
        <v>1540094645.0666475</v>
      </c>
      <c r="C9" s="18">
        <f>C8*(1-Assumptions!B8)</f>
        <v>1639782510.2332785</v>
      </c>
      <c r="D9" s="18">
        <f>D8*(1-Assumptions!B8)</f>
        <v>1745923011.6020503</v>
      </c>
      <c r="E9" s="18">
        <f>E8*(1-Assumptions!B8)</f>
        <v>1858933818.0024393</v>
      </c>
      <c r="F9" s="18">
        <f>F8*(1-Assumptions!B8)</f>
        <v>1979259633.299783</v>
      </c>
    </row>
    <row r="10" spans="1:6" x14ac:dyDescent="0.25">
      <c r="A10" t="s">
        <v>46</v>
      </c>
      <c r="B10" s="18">
        <f>B6*Assumptions!B9</f>
        <v>2527967877.769601</v>
      </c>
      <c r="C10" s="18">
        <f>C6*Assumptions!B9</f>
        <v>2691599198.5796046</v>
      </c>
      <c r="D10" s="18">
        <f>D6*Assumptions!B9</f>
        <v>2865822113.288203</v>
      </c>
      <c r="E10" s="18">
        <f>E6*Assumptions!B9</f>
        <v>3051322198.8421397</v>
      </c>
      <c r="F10" s="18">
        <f>F6*Assumptions!B9</f>
        <v>3248829408.48831</v>
      </c>
    </row>
    <row r="11" spans="1:6" x14ac:dyDescent="0.25">
      <c r="A11" t="s">
        <v>47</v>
      </c>
      <c r="B11" s="18">
        <f>-B6*Assumptions!B10</f>
        <v>-1422642391.6636784</v>
      </c>
      <c r="C11" s="18">
        <f>-C6*Assumptions!B10</f>
        <v>-1514727760.1667063</v>
      </c>
      <c r="D11" s="18">
        <f>-D6*Assumptions!B10</f>
        <v>-1612773667.4123073</v>
      </c>
      <c r="E11" s="18">
        <f>-E6*Assumptions!B10</f>
        <v>-1717165929.547816</v>
      </c>
      <c r="F11" s="18">
        <f>-F6*Assumptions!B10</f>
        <v>-1828315335.9832153</v>
      </c>
    </row>
    <row r="12" spans="1:6" x14ac:dyDescent="0.25">
      <c r="A12" t="s">
        <v>48</v>
      </c>
      <c r="B12" s="18">
        <f>-(B6-Assumptions!B29)*Assumptions!B11</f>
        <v>-343376640.8450435</v>
      </c>
      <c r="C12" s="18">
        <f>-(C6-B6)*Assumptions!B11</f>
        <v>-365602862.06046176</v>
      </c>
      <c r="D12" s="18">
        <f>-(D6-C6)*Assumptions!B11</f>
        <v>-389267751.05567044</v>
      </c>
      <c r="E12" s="18">
        <f>-(E6-D6)*Assumptions!B11</f>
        <v>-414464430.4969363</v>
      </c>
      <c r="F12" s="18">
        <f>-(F6-E6)*Assumptions!B11</f>
        <v>-441292050.73189604</v>
      </c>
    </row>
    <row r="13" spans="1:6" x14ac:dyDescent="0.25">
      <c r="A13" s="19" t="s">
        <v>49</v>
      </c>
      <c r="B13" s="20">
        <f>B9+B10+B11+B12</f>
        <v>2302043490.3275266</v>
      </c>
      <c r="C13" s="20">
        <f>C9+C10+C11+C12</f>
        <v>2451051086.5857153</v>
      </c>
      <c r="D13" s="20">
        <f>D9+D10+D11+D12</f>
        <v>2609703706.4222755</v>
      </c>
      <c r="E13" s="20">
        <f>E9+E10+E11+E12</f>
        <v>2778625656.799826</v>
      </c>
      <c r="F13" s="20">
        <f>F9+F10+F11+F12</f>
        <v>2958481655.0729814</v>
      </c>
    </row>
    <row r="14" spans="1:6" x14ac:dyDescent="0.25">
      <c r="A14" t="s">
        <v>50</v>
      </c>
      <c r="B14" s="21">
        <f>1/(1+Assumptions!$B$26)^(1-0.5*Assumptions!$B$32)</f>
        <v>0.9675976234904011</v>
      </c>
      <c r="C14" s="21">
        <f>1/(1+Assumptions!$B$26)^(2-0.5*Assumptions!$B$32)</f>
        <v>0.9059085927727697</v>
      </c>
      <c r="D14" s="21">
        <f>1/(1+Assumptions!$B$26)^(3-0.5*Assumptions!$B$32)</f>
        <v>0.8481525362775773</v>
      </c>
      <c r="E14" s="21">
        <f>1/(1+Assumptions!$B$26)^(4-0.5*Assumptions!$B$32)</f>
        <v>0.794078707866419</v>
      </c>
      <c r="F14" s="21">
        <f>1/(1+Assumptions!$B$26)^(5-0.5*Assumptions!$B$32)</f>
        <v>0.7434523476805782</v>
      </c>
    </row>
    <row r="15" spans="1:6" x14ac:dyDescent="0.25">
      <c r="A15" s="19" t="s">
        <v>51</v>
      </c>
      <c r="B15" s="20">
        <f>B13*B14</f>
        <v>2227451810.4124627</v>
      </c>
      <c r="C15" s="20">
        <f>C13*C14</f>
        <v>2220428240.6630335</v>
      </c>
      <c r="D15" s="20">
        <f>D13*D14</f>
        <v>2213426817.535047</v>
      </c>
      <c r="E15" s="20">
        <f>E13*E14</f>
        <v>2206447471.196086</v>
      </c>
      <c r="F15" s="20">
        <f>F13*F14</f>
        <v>2199490132.033931</v>
      </c>
    </row>
    <row r="17" spans="1:2" x14ac:dyDescent="0.25">
      <c r="A17" s="22" t="s">
        <v>52</v>
      </c>
      <c r="B17" s="23">
        <f>SUM(B15:F15)</f>
        <v>11067244471.84056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2958481655.0729814</v>
      </c>
    </row>
    <row r="5" spans="1:2" x14ac:dyDescent="0.25">
      <c r="A5" t="s">
        <v>56</v>
      </c>
      <c r="B5" s="18">
        <f>IF(Assumptions!$B$33=0,B4,B4-Forecast!F11-Forecast!F10-Forecast!F12)</f>
        <v>4179060668.697973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0.3671270978949959</v>
      </c>
    </row>
    <row r="7" spans="1:2" x14ac:dyDescent="0.25">
      <c r="A7" t="s">
        <v>58</v>
      </c>
      <c r="B7" s="18">
        <f>-MAX(Forecast!F9,0)*B6</f>
        <v>-1534246415.2262077</v>
      </c>
    </row>
    <row r="8" spans="1:2" x14ac:dyDescent="0.25">
      <c r="A8" t="s">
        <v>59</v>
      </c>
      <c r="B8" s="18">
        <f>IF(OR(Assumptions!$B$33=0,Assumptions!B12&lt;=0),B5,MAX(B5+B7,0))</f>
        <v>2644814253.471765</v>
      </c>
    </row>
    <row r="9" spans="1:2" x14ac:dyDescent="0.25">
      <c r="A9" t="s">
        <v>60</v>
      </c>
      <c r="B9" s="18">
        <f>B8*(1+Assumptions!B12)/(Assumptions!B26-Assumptions!B12)</f>
        <v>62904103024.274506</v>
      </c>
    </row>
    <row r="10" spans="1:2" x14ac:dyDescent="0.25">
      <c r="A10" t="s">
        <v>61</v>
      </c>
      <c r="B10" s="18">
        <f>B9/(1+Assumptions!B26)^(5-0.5*Assumptions!B32)</f>
        <v>46766203072.13784</v>
      </c>
    </row>
    <row r="11" spans="1:2" x14ac:dyDescent="0.25">
      <c r="A11" t="s">
        <v>62</v>
      </c>
      <c r="B11" s="18">
        <f>Forecast!B17+B10</f>
        <v>57833447543.9784</v>
      </c>
    </row>
    <row r="12" spans="1:2" x14ac:dyDescent="0.25">
      <c r="A12" t="s">
        <v>63</v>
      </c>
      <c r="B12" s="18">
        <f>-Assumptions!B30</f>
        <v>-8827000000</v>
      </c>
    </row>
    <row r="13" spans="1:2" x14ac:dyDescent="0.25">
      <c r="A13" t="s">
        <v>64</v>
      </c>
      <c r="B13" s="18">
        <f>B11+B12</f>
        <v>49006447543.9784</v>
      </c>
    </row>
    <row r="14" spans="1:2" x14ac:dyDescent="0.25">
      <c r="A14" s="19" t="s">
        <v>65</v>
      </c>
      <c r="B14" s="24">
        <f>B13/Assumptions!B31</f>
        <v>92.99136156352638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5796573249.879633</v>
      </c>
    </row>
    <row r="18" spans="1:2" x14ac:dyDescent="0.25">
      <c r="A18" t="s">
        <v>60</v>
      </c>
      <c r="B18" s="18">
        <f>B17*Assumptions!B13</f>
        <v>63942421501.53875</v>
      </c>
    </row>
    <row r="19" spans="1:2" x14ac:dyDescent="0.25">
      <c r="A19" t="s">
        <v>61</v>
      </c>
      <c r="B19" s="18">
        <f>B18/(1+Assumptions!B26)^(5-0.5*Assumptions!B32)</f>
        <v>47538143381.700066</v>
      </c>
    </row>
    <row r="20" spans="1:2" x14ac:dyDescent="0.25">
      <c r="A20" t="s">
        <v>62</v>
      </c>
      <c r="B20" s="18">
        <f>Forecast!B17+B19</f>
        <v>58605387853.54063</v>
      </c>
    </row>
    <row r="21" spans="1:2" x14ac:dyDescent="0.25">
      <c r="A21" t="s">
        <v>63</v>
      </c>
      <c r="B21" s="18">
        <f>-Assumptions!B30</f>
        <v>-8827000000</v>
      </c>
    </row>
    <row r="22" spans="1:2" x14ac:dyDescent="0.25">
      <c r="A22" t="s">
        <v>64</v>
      </c>
      <c r="B22" s="18">
        <f>B20+B21</f>
        <v>49778387853.54063</v>
      </c>
    </row>
    <row r="23" spans="1:2" x14ac:dyDescent="0.25">
      <c r="A23" s="19" t="s">
        <v>65</v>
      </c>
      <c r="B23" s="25">
        <f>B22/Assumptions!B31</f>
        <v>94.4561439346122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8246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9299.136156352639</v>
      </c>
    </row>
    <row r="29" spans="1:2" x14ac:dyDescent="0.25">
      <c r="A29" s="19" t="s">
        <v>73</v>
      </c>
      <c r="B29" s="12">
        <f>B28/B26-1</f>
        <v>0.12771478975899098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0.048096</v>
      </c>
      <c r="B5" s="31">
        <v>140.7353115826886</v>
      </c>
      <c r="C5" s="31">
        <v>141.40261649259773</v>
      </c>
      <c r="D5" s="31">
        <v>142.06992140250674</v>
      </c>
      <c r="E5" s="31">
        <v>142.73722631241583</v>
      </c>
      <c r="F5" s="31">
        <v>143.40453122232486</v>
      </c>
    </row>
    <row r="6" spans="1:6" x14ac:dyDescent="0.25">
      <c r="A6" s="30">
        <v>0.058096</v>
      </c>
      <c r="B6" s="31">
        <v>112.20589480379759</v>
      </c>
      <c r="C6" s="31">
        <v>112.73522784885766</v>
      </c>
      <c r="D6" s="31">
        <v>113.26456089391775</v>
      </c>
      <c r="E6" s="31">
        <v>113.79389393897776</v>
      </c>
      <c r="F6" s="31">
        <v>114.32322698403783</v>
      </c>
    </row>
    <row r="7" spans="1:6" x14ac:dyDescent="0.25">
      <c r="A7" s="30">
        <v>0.068096</v>
      </c>
      <c r="B7" s="31">
        <v>92.12612823698264</v>
      </c>
      <c r="C7" s="31">
        <v>92.55901087171257</v>
      </c>
      <c r="D7" s="32">
        <v>92.99189350644247</v>
      </c>
      <c r="E7" s="31">
        <v>93.42477614117237</v>
      </c>
      <c r="F7" s="31">
        <v>93.85765877590228</v>
      </c>
    </row>
    <row r="8" spans="1:6" x14ac:dyDescent="0.25">
      <c r="A8" s="30">
        <v>0.078096</v>
      </c>
      <c r="B8" s="31">
        <v>77.24657314968351</v>
      </c>
      <c r="C8" s="31">
        <v>77.60852501459452</v>
      </c>
      <c r="D8" s="31">
        <v>77.97047687950551</v>
      </c>
      <c r="E8" s="31">
        <v>78.33242874441653</v>
      </c>
      <c r="F8" s="31">
        <v>78.69438060932751</v>
      </c>
    </row>
    <row r="9" spans="1:6" x14ac:dyDescent="0.25">
      <c r="A9" s="30">
        <v>0.088096</v>
      </c>
      <c r="B9" s="31">
        <v>65.79340926410664</v>
      </c>
      <c r="C9" s="31">
        <v>66.10121691706675</v>
      </c>
      <c r="D9" s="31">
        <v>66.40902457002683</v>
      </c>
      <c r="E9" s="31">
        <v>66.7168322229869</v>
      </c>
      <c r="F9" s="31">
        <v>67.02463987594696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9346000000</v>
      </c>
      <c r="C5" s="18">
        <v>8858000000</v>
      </c>
      <c r="D5" s="18">
        <v>8379000000</v>
      </c>
      <c r="E5" s="18">
        <v>7743000000</v>
      </c>
      <c r="F5" s="8" t="s">
        <v>84</v>
      </c>
    </row>
    <row r="6" spans="1:6" x14ac:dyDescent="0.25">
      <c r="A6" t="s">
        <v>44</v>
      </c>
      <c r="B6" s="18">
        <v>2170000000</v>
      </c>
      <c r="C6" s="18">
        <v>1370000000</v>
      </c>
      <c r="D6" s="18">
        <v>1661000000</v>
      </c>
      <c r="E6" s="18">
        <v>1640000000</v>
      </c>
      <c r="F6" s="8" t="s">
        <v>85</v>
      </c>
    </row>
    <row r="7" spans="1:6" x14ac:dyDescent="0.25">
      <c r="A7" t="s">
        <v>86</v>
      </c>
      <c r="B7" s="18">
        <v>2238000000</v>
      </c>
      <c r="C7" s="18">
        <v>2449000000</v>
      </c>
      <c r="D7" s="18">
        <v>2143000000</v>
      </c>
      <c r="E7" s="18">
        <v>1893000000</v>
      </c>
      <c r="F7" s="8" t="s">
        <v>87</v>
      </c>
    </row>
    <row r="8" spans="1:6" x14ac:dyDescent="0.25">
      <c r="A8" t="s">
        <v>88</v>
      </c>
      <c r="B8" s="18">
        <v>1906000000</v>
      </c>
      <c r="C8" s="18">
        <v>1008000000</v>
      </c>
      <c r="D8" s="18">
        <v>1084000000</v>
      </c>
      <c r="E8" s="18">
        <v>966000000</v>
      </c>
      <c r="F8" s="8" t="s">
        <v>89</v>
      </c>
    </row>
    <row r="9" spans="1:6" x14ac:dyDescent="0.25">
      <c r="A9" t="s">
        <v>90</v>
      </c>
      <c r="B9" s="18">
        <v>419000000</v>
      </c>
      <c r="C9" s="18">
        <v>50000000</v>
      </c>
      <c r="D9" s="18">
        <v>361000000</v>
      </c>
      <c r="E9" s="18">
        <v>200000000</v>
      </c>
      <c r="F9" s="8" t="s">
        <v>91</v>
      </c>
    </row>
    <row r="10" spans="1:6" x14ac:dyDescent="0.25">
      <c r="A10" t="s">
        <v>92</v>
      </c>
      <c r="B10" s="18">
        <v>11718000000</v>
      </c>
      <c r="C10" s="18">
        <v>9965000000</v>
      </c>
      <c r="D10" s="18">
        <v>9699000000</v>
      </c>
      <c r="E10" s="18">
        <v>8823000000</v>
      </c>
      <c r="F10" s="8" t="s">
        <v>93</v>
      </c>
    </row>
    <row r="11" spans="1:6" x14ac:dyDescent="0.25">
      <c r="A11" t="s">
        <v>94</v>
      </c>
      <c r="B11" s="18">
        <v>2891000000</v>
      </c>
      <c r="C11" s="18">
        <v>2133000000</v>
      </c>
      <c r="D11" s="18">
        <v>2251000000</v>
      </c>
      <c r="E11" s="18">
        <v>1990000000</v>
      </c>
      <c r="F11" s="8" t="s">
        <v>95</v>
      </c>
    </row>
    <row r="12" spans="1:6" x14ac:dyDescent="0.25">
      <c r="A12" t="s">
        <v>32</v>
      </c>
      <c r="B12" s="34">
        <v>527000000</v>
      </c>
      <c r="C12" s="34">
        <v>535000000</v>
      </c>
      <c r="D12" s="34">
        <v>551000000</v>
      </c>
      <c r="E12" s="34">
        <v>560000000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2026-09-19T01:06:06Z</dcterms:modified>
</cp:coreProperties>
</file>