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<sst xmlns="http://schemas.openxmlformats.org/spreadsheetml/2006/main" count="113" uniqueCount="101">
  <si>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Lottomatica Group S.p.A. (LTMC.MI)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</si>
  <si>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</si>
  <si>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</si>
  <si>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</si>
  <si>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</si>
  <si>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</si>
  <si>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</si>
  <si>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</si>
  <si>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</si>
  <si>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</si>
  <si>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</si>
  <si>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</si>
  <si>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</si>
  <si>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</si>
  <si>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</si>
  <si>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</si>
  <si>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</si>
  <si>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</si>
  <si>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</si>
  <si>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Clamped from a reported -0.064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</si>
  <si>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</si>
  <si>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</si>
  <si>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</si>
  <si>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</si>
  <si>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</si>
  <si>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</si>
  <si>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</si>
  <si>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</si>
  <si>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</si>
  <si>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</si>
  <si>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</si>
  <si>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</si>
  <si>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</si>
  <si>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</si>
  <si>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</si>
  <si>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</si>
  <si>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</si>
  <si>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</si>
  <si>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</si>
  <si>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</si>
  <si>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</si>
  <si>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</si>
  <si>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</si>
  <si>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</si>
  <si>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</si>
  <si>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</si>
  <si>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</si>
  <si>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</si>
  <si>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</si>
  <si>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</si>
  <si>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</si>
  <si>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</si>
  <si>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</si>
  <si>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</si>
  <si>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</si>
  <si>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</si>
  <si>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</si>
  <si>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</si>
  <si>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</si>
  <si>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</si>
  <si>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</si>
  <si>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</si>
  <si>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</si>
  <si>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</si>
  <si>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</si>
  <si>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</si>
  <si>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</si>
  <si>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</si>
  <si>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</si>
  <si>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</si>
  <si>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</si>
  <si>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</si>
  <si>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</si>
  <si>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</si>
  <si>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</si>
  <si>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</si>
  <si>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</si>
  <si>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</si>
  <si>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</si>
  <si>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</si>
  <si>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</si>
  <si>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</si>
  <si>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</si>
  <si>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</si>
  <si>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</si>
  <si>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</si>
  <si>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</si>
  <si>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</si>
  <si>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</si>
  <si>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</si>
  <si>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</si>
  <si>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</si>
  <si>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</si>
  <si>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</si>
  <si>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</si>
  <si>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</si>
  <si>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</si>
  <si>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</si>
  <si>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Beta of -0.064 is not usable in a cost of equity. Clamped to 0.30.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</si>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</sst>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0.17228016380576583</v>
      </c>
    </row>
    <row r="7" spans="1:2" x14ac:dyDescent="0.25">
      <c r="A7" t="s">
        <v>5</v>
      </c>
      <c r="B7" s="6">
        <v>0.19039860306768422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0.11687521240634346</v>
      </c>
    </row>
    <row r="10" spans="1:2" x14ac:dyDescent="0.25">
      <c r="A10" t="s">
        <v>8</v>
      </c>
      <c r="B10" s="6">
        <v>0.08328604746516007</v>
      </c>
    </row>
    <row r="11" spans="1:2" x14ac:dyDescent="0.25">
      <c r="A11" t="s">
        <v>9</v>
      </c>
      <c r="B11" s="6">
        <v>0.10197116477153173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11.524494914473888</v>
      </c>
    </row>
    <row r="14" spans="1:3" x14ac:dyDescent="0.25">
      <c r="A14" t="s">
        <v>12</v>
      </c>
      <c r="B14" s="6">
        <v>0.1070963308044448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0.3</v>
      </c>
      <c r="C19" s="8" t="s">
        <v>19</v>
      </c>
    </row>
    <row r="20" spans="1:2" x14ac:dyDescent="0.25">
      <c r="A20" t="s">
        <v>20</v>
      </c>
      <c r="B20" s="10">
        <f>B17+B19*B18</f>
        <v>0.0615</v>
      </c>
    </row>
    <row r="21" spans="1:3" x14ac:dyDescent="0.25">
      <c r="A21" t="s">
        <v>21</v>
      </c>
      <c r="B21" s="6">
        <v>0.09180546845173074</v>
      </c>
      <c r="C21" s="8" t="s">
        <v>22</v>
      </c>
    </row>
    <row r="22" spans="1:2" x14ac:dyDescent="0.25">
      <c r="A22" t="s">
        <v>23</v>
      </c>
      <c r="B22" s="11">
        <v>6297515520</v>
      </c>
    </row>
    <row r="23" spans="1:2" x14ac:dyDescent="0.25">
      <c r="A23" t="s">
        <v>24</v>
      </c>
      <c r="B23" s="11">
        <v>2057775000</v>
      </c>
    </row>
    <row r="24" spans="1:2" x14ac:dyDescent="0.25">
      <c r="A24" t="s">
        <v>25</v>
      </c>
      <c r="B24" s="10">
        <f>B22/(B22+B23)</f>
        <v>0.7537159246498588</v>
      </c>
    </row>
    <row r="25" spans="1:2" x14ac:dyDescent="0.25">
      <c r="A25" t="s">
        <v>26</v>
      </c>
      <c r="B25" s="10">
        <f>1-B24</f>
        <v>0.24628407535014119</v>
      </c>
    </row>
    <row r="26" spans="1:2" x14ac:dyDescent="0.25">
      <c r="A26" t="s">
        <v>27</v>
      </c>
      <c r="B26" s="12">
        <f>B24*B20+B25*B21*(1-B8)</f>
        <v>0.0633111980482571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2247116000</v>
      </c>
      <c r="C29" s="8" t="s">
        <v>30</v>
      </c>
    </row>
    <row r="30" spans="1:2" x14ac:dyDescent="0.25">
      <c r="A30" t="s">
        <v>31</v>
      </c>
      <c r="B30" s="11">
        <v>1912696000</v>
      </c>
    </row>
    <row r="31" spans="1:2" x14ac:dyDescent="0.25">
      <c r="A31" t="s">
        <v>32</v>
      </c>
      <c r="B31" s="13">
        <v>238034700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0.17228016380576583</v>
      </c>
      <c r="C5" s="10">
        <f>Assumptions!B6</f>
        <v>0.17228016380576583</v>
      </c>
      <c r="D5" s="10">
        <f>Assumptions!B6</f>
        <v>0.17228016380576583</v>
      </c>
      <c r="E5" s="10">
        <f>Assumptions!B6</f>
        <v>0.17228016380576583</v>
      </c>
      <c r="F5" s="10">
        <f>Assumptions!B6</f>
        <v>0.17228016380576583</v>
      </c>
    </row>
    <row r="6" spans="1:6" x14ac:dyDescent="0.25">
      <c r="A6" t="s">
        <v>43</v>
      </c>
      <c r="B6" s="18">
        <f>Assumptions!B29*(1+B5)</f>
        <v>2634249512.570557</v>
      </c>
      <c r="C6" s="18">
        <f>B6*(1+C5)</f>
        <v>3088078450.1014714</v>
      </c>
      <c r="D6" s="18">
        <f>C6*(1+D5)</f>
        <v>3620093111.3300085</v>
      </c>
      <c r="E6" s="18">
        <f>D6*(1+E5)</f>
        <v>4243763345.542067</v>
      </c>
      <c r="F6" s="18">
        <f>E6*(1+F5)</f>
        <v>4974879589.864959</v>
      </c>
    </row>
    <row r="7" spans="1:6" x14ac:dyDescent="0.25">
      <c r="A7" t="s">
        <v>5</v>
      </c>
      <c r="B7" s="10">
        <f>Assumptions!B7</f>
        <v>0.19039860306768422</v>
      </c>
      <c r="C7" s="10">
        <f>Assumptions!B7</f>
        <v>0.19039860306768422</v>
      </c>
      <c r="D7" s="10">
        <f>Assumptions!B7</f>
        <v>0.19039860306768422</v>
      </c>
      <c r="E7" s="10">
        <f>Assumptions!B7</f>
        <v>0.19039860306768422</v>
      </c>
      <c r="F7" s="10">
        <f>Assumptions!B7</f>
        <v>0.19039860306768422</v>
      </c>
    </row>
    <row r="8" spans="1:6" x14ac:dyDescent="0.25">
      <c r="A8" t="s">
        <v>44</v>
      </c>
      <c r="B8" s="18">
        <f>B6*B7</f>
        <v>501557427.3251621</v>
      </c>
      <c r="C8" s="18">
        <f>C6*C7</f>
        <v>587965823.0627395</v>
      </c>
      <c r="D8" s="18">
        <f>D6*D7</f>
        <v>689260671.3721802</v>
      </c>
      <c r="E8" s="18">
        <f>E6*E7</f>
        <v>808006612.7410517</v>
      </c>
      <c r="F8" s="18">
        <f>F6*F7</f>
        <v>947210124.340222</v>
      </c>
    </row>
    <row r="9" spans="1:6" x14ac:dyDescent="0.25">
      <c r="A9" t="s">
        <v>45</v>
      </c>
      <c r="B9" s="18">
        <f>B8*(1-Assumptions!B8)</f>
        <v>376168070.49387157</v>
      </c>
      <c r="C9" s="18">
        <f>C8*(1-Assumptions!B8)</f>
        <v>440974367.29705465</v>
      </c>
      <c r="D9" s="18">
        <f>D8*(1-Assumptions!B8)</f>
        <v>516945503.52913517</v>
      </c>
      <c r="E9" s="18">
        <f>E8*(1-Assumptions!B8)</f>
        <v>606004959.5557888</v>
      </c>
      <c r="F9" s="18">
        <f>F8*(1-Assumptions!B8)</f>
        <v>710407593.2551665</v>
      </c>
    </row>
    <row r="10" spans="1:6" x14ac:dyDescent="0.25">
      <c r="A10" t="s">
        <v>46</v>
      </c>
      <c r="B10" s="18">
        <f>B6*Assumptions!B9</f>
        <v>307878471.3129906</v>
      </c>
      <c r="C10" s="18">
        <f>C6*Assumptions!B9</f>
        <v>360919824.7830614</v>
      </c>
      <c r="D10" s="18">
        <f>D6*Assumptions!B9</f>
        <v>423099151.3174355</v>
      </c>
      <c r="E10" s="18">
        <f>E6*Assumptions!B9</f>
        <v>495990742.4124839</v>
      </c>
      <c r="F10" s="18">
        <f>F6*Assumptions!B9</f>
        <v>581440108.7614499</v>
      </c>
    </row>
    <row r="11" spans="1:6" x14ac:dyDescent="0.25">
      <c r="A11" t="s">
        <v>47</v>
      </c>
      <c r="B11" s="18">
        <f>-B6*Assumptions!B10</f>
        <v>-219396229.93902618</v>
      </c>
      <c r="C11" s="18">
        <f>-C6*Assumptions!B10</f>
        <v>-257193848.37128907</v>
      </c>
      <c r="D11" s="18">
        <f>-D6*Assumptions!B10</f>
        <v>-301503246.6985301</v>
      </c>
      <c r="E11" s="18">
        <f>-E6*Assumptions!B10</f>
        <v>-353446275.42772305</v>
      </c>
      <c r="F11" s="18">
        <f>-F6*Assumptions!B10</f>
        <v>-414338057.654949</v>
      </c>
    </row>
    <row r="12" spans="1:6" x14ac:dyDescent="0.25">
      <c r="A12" t="s">
        <v>48</v>
      </c>
      <c r="B12" s="18">
        <f>-(B6-Assumptions!B29)*Assumptions!B11</f>
        <v>-39476455.19891413</v>
      </c>
      <c r="C12" s="18">
        <f>-(C6-B6)*Assumptions!B11</f>
        <v>-46277465.367054045</v>
      </c>
      <c r="D12" s="18">
        <f>-(D6-C6)*Assumptions!B11</f>
        <v>-54250154.68100579</v>
      </c>
      <c r="E12" s="18">
        <f>-(E6-D6)*Assumptions!B11</f>
        <v>-63596380.21593761</v>
      </c>
      <c r="F12" s="18">
        <f>-(F6-E6)*Assumptions!B11</f>
        <v>-74552775.01699305</v>
      </c>
    </row>
    <row r="13" spans="1:6" x14ac:dyDescent="0.25">
      <c r="A13" s="19" t="s">
        <v>49</v>
      </c>
      <c r="B13" s="20">
        <f>B9+B10+B11+B12</f>
        <v>425173856.6689218</v>
      </c>
      <c r="C13" s="20">
        <f>C9+C10+C11+C12</f>
        <v>498422878.341773</v>
      </c>
      <c r="D13" s="20">
        <f>D9+D10+D11+D12</f>
        <v>584291253.4670348</v>
      </c>
      <c r="E13" s="20">
        <f>E9+E10+E11+E12</f>
        <v>684953046.324612</v>
      </c>
      <c r="F13" s="20">
        <f>F9+F10+F11+F12</f>
        <v>802956869.3446743</v>
      </c>
    </row>
    <row r="14" spans="1:6" x14ac:dyDescent="0.25">
      <c r="A14" t="s">
        <v>50</v>
      </c>
      <c r="B14" s="21">
        <f>1/(1+Assumptions!$B$26)^(1-0.5*Assumptions!$B$32)</f>
        <v>0.9697723696241283</v>
      </c>
      <c r="C14" s="21">
        <f>1/(1+Assumptions!$B$26)^(2-0.5*Assumptions!$B$32)</f>
        <v>0.9120306185095929</v>
      </c>
      <c r="D14" s="21">
        <f>1/(1+Assumptions!$B$26)^(3-0.5*Assumptions!$B$32)</f>
        <v>0.8577269008204329</v>
      </c>
      <c r="E14" s="21">
        <f>1/(1+Assumptions!$B$26)^(4-0.5*Assumptions!$B$32)</f>
        <v>0.8066565107137206</v>
      </c>
      <c r="F14" s="21">
        <f>1/(1+Assumptions!$B$26)^(5-0.5*Assumptions!$B$32)</f>
        <v>0.7586269308499387</v>
      </c>
    </row>
    <row r="15" spans="1:6" x14ac:dyDescent="0.25">
      <c r="A15" s="19" t="s">
        <v>51</v>
      </c>
      <c r="B15" s="20">
        <f>B13*B14</f>
        <v>412321858.4840498</v>
      </c>
      <c r="C15" s="20">
        <f>C13*C14</f>
        <v>454576926.0133788</v>
      </c>
      <c r="D15" s="20">
        <f>D13*D14</f>
        <v>501162326.01276577</v>
      </c>
      <c r="E15" s="20">
        <f>E13*E14</f>
        <v>552521834.350945</v>
      </c>
      <c r="F15" s="20">
        <f>F13*F14</f>
        <v>609144705.3958255</v>
      </c>
    </row>
    <row r="17" spans="1:2" x14ac:dyDescent="0.25">
      <c r="A17" s="22" t="s">
        <v>52</v>
      </c>
      <c r="B17" s="23">
        <f>SUM(B15:F15)</f>
        <v>2529727650.2569647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802956869.3446743</v>
      </c>
    </row>
    <row r="5" spans="1:2" x14ac:dyDescent="0.25">
      <c r="A5" t="s">
        <v>56</v>
      </c>
      <c r="B5" s="18">
        <f>IF(Assumptions!$B$33=0,B4,B4-Forecast!F11-Forecast!F10-Forecast!F12)</f>
        <v>1013397463.0594085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0.23343470137785924</v>
      </c>
    </row>
    <row r="7" spans="1:2" x14ac:dyDescent="0.25">
      <c r="A7" t="s">
        <v>58</v>
      </c>
      <c r="B7" s="18">
        <f>-MAX(Forecast!F9,0)*B6</f>
        <v>-236562134.16635317</v>
      </c>
    </row>
    <row r="8" spans="1:2" x14ac:dyDescent="0.25">
      <c r="A8" t="s">
        <v>59</v>
      </c>
      <c r="B8" s="18">
        <f>IF(OR(Assumptions!$B$33=0,Assumptions!B12&lt;=0),B5,MAX(B5+B7,0))</f>
        <v>776835328.8930554</v>
      </c>
    </row>
    <row r="9" spans="1:2" x14ac:dyDescent="0.25">
      <c r="A9" t="s">
        <v>60</v>
      </c>
      <c r="B9" s="18">
        <f>B8*(1+Assumptions!B12)/(Assumptions!B26-Assumptions!B12)</f>
        <v>20783902688.514484</v>
      </c>
    </row>
    <row r="10" spans="1:2" x14ac:dyDescent="0.25">
      <c r="A10" t="s">
        <v>61</v>
      </c>
      <c r="B10" s="18">
        <f>B9/(1+Assumptions!B26)^(5-0.5*Assumptions!B32)</f>
        <v>15767228307.671534</v>
      </c>
    </row>
    <row r="11" spans="1:2" x14ac:dyDescent="0.25">
      <c r="A11" t="s">
        <v>62</v>
      </c>
      <c r="B11" s="18">
        <f>Forecast!B17+B10</f>
        <v>18296955957.928497</v>
      </c>
    </row>
    <row r="12" spans="1:2" x14ac:dyDescent="0.25">
      <c r="A12" t="s">
        <v>63</v>
      </c>
      <c r="B12" s="18">
        <f>-Assumptions!B30</f>
        <v>-1912696000</v>
      </c>
    </row>
    <row r="13" spans="1:2" x14ac:dyDescent="0.25">
      <c r="A13" t="s">
        <v>64</v>
      </c>
      <c r="B13" s="18">
        <f>B11+B12</f>
        <v>16384259957.928497</v>
      </c>
    </row>
    <row r="14" spans="1:2" x14ac:dyDescent="0.25">
      <c r="A14" s="19" t="s">
        <v>65</v>
      </c>
      <c r="B14" s="24">
        <f>B13/Assumptions!B31</f>
        <v>68.83139289325673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1528650233.101672</v>
      </c>
    </row>
    <row r="18" spans="1:2" x14ac:dyDescent="0.25">
      <c r="A18" t="s">
        <v>60</v>
      </c>
      <c r="B18" s="18">
        <f>B17*Assumptions!B13</f>
        <v>17616921837.38954</v>
      </c>
    </row>
    <row r="19" spans="1:2" x14ac:dyDescent="0.25">
      <c r="A19" t="s">
        <v>61</v>
      </c>
      <c r="B19" s="18">
        <f>B18/(1+Assumptions!B26)^(5-0.5*Assumptions!B32)</f>
        <v>13364671344.52209</v>
      </c>
    </row>
    <row r="20" spans="1:2" x14ac:dyDescent="0.25">
      <c r="A20" t="s">
        <v>62</v>
      </c>
      <c r="B20" s="18">
        <f>Forecast!B17+B19</f>
        <v>15894398994.779057</v>
      </c>
    </row>
    <row r="21" spans="1:2" x14ac:dyDescent="0.25">
      <c r="A21" t="s">
        <v>63</v>
      </c>
      <c r="B21" s="18">
        <f>-Assumptions!B30</f>
        <v>-1912696000</v>
      </c>
    </row>
    <row r="22" spans="1:2" x14ac:dyDescent="0.25">
      <c r="A22" t="s">
        <v>64</v>
      </c>
      <c r="B22" s="18">
        <f>B20+B21</f>
        <v>13981702994.779057</v>
      </c>
    </row>
    <row r="23" spans="1:2" x14ac:dyDescent="0.25">
      <c r="A23" s="19" t="s">
        <v>65</v>
      </c>
      <c r="B23" s="25">
        <f>B22/Assumptions!B31</f>
        <v>58.738087324155074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27.09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68.83139289325673</v>
      </c>
    </row>
    <row r="29" spans="1:2" x14ac:dyDescent="0.25">
      <c r="A29" s="19" t="s">
        <v>73</v>
      </c>
      <c r="B29" s="12">
        <f>B28/B26-1</f>
        <v>1.5408413766429212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0.043311</v>
      </c>
      <c r="B5" s="31">
        <v>111.61065857007631</v>
      </c>
      <c r="C5" s="31">
        <v>128.3360809396289</v>
      </c>
      <c r="D5" s="31">
        <v>154.10589446570566</v>
      </c>
      <c r="E5" s="31">
        <v>199.11211081894444</v>
      </c>
      <c r="F5" s="31">
        <v>298.0733008581387</v>
      </c>
    </row>
    <row r="6" spans="1:6" x14ac:dyDescent="0.25">
      <c r="A6" s="30">
        <v>0.053311</v>
      </c>
      <c r="B6" s="31">
        <v>79.64665604322823</v>
      </c>
      <c r="C6" s="31">
        <v>86.78855950540515</v>
      </c>
      <c r="D6" s="31">
        <v>96.39754880553498</v>
      </c>
      <c r="E6" s="31">
        <v>110.0611271639555</v>
      </c>
      <c r="F6" s="31">
        <v>131.10073174272017</v>
      </c>
    </row>
    <row r="7" spans="1:6" x14ac:dyDescent="0.25">
      <c r="A7" s="30">
        <v>0.063311</v>
      </c>
      <c r="B7" s="31">
        <v>60.944219650409245</v>
      </c>
      <c r="C7" s="31">
        <v>64.4501282283119</v>
      </c>
      <c r="D7" s="32">
        <v>68.83179616817543</v>
      </c>
      <c r="E7" s="31">
        <v>74.4835794013563</v>
      </c>
      <c r="F7" s="31">
        <v>82.07842234521024</v>
      </c>
    </row>
    <row r="8" spans="1:6" x14ac:dyDescent="0.25">
      <c r="A8" s="30">
        <v>0.073311</v>
      </c>
      <c r="B8" s="31">
        <v>48.67926473028682</v>
      </c>
      <c r="C8" s="31">
        <v>50.510215202548196</v>
      </c>
      <c r="D8" s="31">
        <v>52.69023384731426</v>
      </c>
      <c r="E8" s="31">
        <v>55.340214261767535</v>
      </c>
      <c r="F8" s="31">
        <v>58.64416173277881</v>
      </c>
    </row>
    <row r="9" spans="1:6" x14ac:dyDescent="0.25">
      <c r="A9" s="30">
        <v>0.083311</v>
      </c>
      <c r="B9" s="31">
        <v>40.02366321425327</v>
      </c>
      <c r="C9" s="31">
        <v>40.98843227571305</v>
      </c>
      <c r="D9" s="31">
        <v>42.09487457129014</v>
      </c>
      <c r="E9" s="31">
        <v>43.382852390413746</v>
      </c>
      <c r="F9" s="31">
        <v>44.90873038819757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2247116000</v>
      </c>
      <c r="C5" s="18">
        <v>2004725000</v>
      </c>
      <c r="D5" s="18">
        <v>1632488000</v>
      </c>
      <c r="E5" s="18">
        <v>1394862000</v>
      </c>
      <c r="F5" s="8" t="s">
        <v>84</v>
      </c>
    </row>
    <row r="6" spans="1:6" x14ac:dyDescent="0.25">
      <c r="A6" t="s">
        <v>44</v>
      </c>
      <c r="B6" s="18">
        <v>451310000</v>
      </c>
      <c r="C6" s="18">
        <v>370883000</v>
      </c>
      <c r="D6" s="18">
        <v>325398000</v>
      </c>
      <c r="E6" s="18">
        <v>246087000</v>
      </c>
      <c r="F6" s="8" t="s">
        <v>85</v>
      </c>
    </row>
    <row r="7" spans="1:6" x14ac:dyDescent="0.25">
      <c r="A7" t="s">
        <v>86</v>
      </c>
      <c r="B7" s="18">
        <v>261104000</v>
      </c>
      <c r="C7" s="18">
        <v>244109000</v>
      </c>
      <c r="D7" s="18">
        <v>194125000</v>
      </c>
      <c r="E7" s="18">
        <v>154307000</v>
      </c>
      <c r="F7" s="8" t="s">
        <v>87</v>
      </c>
    </row>
    <row r="8" spans="1:6" x14ac:dyDescent="0.25">
      <c r="A8" t="s">
        <v>88</v>
      </c>
      <c r="B8" s="18">
        <v>228934000</v>
      </c>
      <c r="C8" s="18">
        <v>181412000</v>
      </c>
      <c r="D8" s="18">
        <v>123235000</v>
      </c>
      <c r="E8" s="18">
        <v>91062000</v>
      </c>
      <c r="F8" s="8" t="s">
        <v>89</v>
      </c>
    </row>
    <row r="9" spans="1:6" x14ac:dyDescent="0.25">
      <c r="A9" t="s">
        <v>90</v>
      </c>
      <c r="B9" s="18">
        <v>35512000</v>
      </c>
      <c r="C9" s="18">
        <v>36310000</v>
      </c>
      <c r="D9" s="18">
        <v>24231000</v>
      </c>
      <c r="E9" s="18">
        <v>-20066000</v>
      </c>
      <c r="F9" s="8" t="s">
        <v>91</v>
      </c>
    </row>
    <row r="10" spans="1:6" x14ac:dyDescent="0.25">
      <c r="A10" t="s">
        <v>92</v>
      </c>
      <c r="B10" s="18">
        <v>2057775000</v>
      </c>
      <c r="C10" s="18">
        <v>2017821000</v>
      </c>
      <c r="D10" s="18">
        <v>1997313000</v>
      </c>
      <c r="E10" s="18">
        <v>1862445000</v>
      </c>
      <c r="F10" s="8" t="s">
        <v>93</v>
      </c>
    </row>
    <row r="11" spans="1:6" x14ac:dyDescent="0.25">
      <c r="A11" t="s">
        <v>94</v>
      </c>
      <c r="B11" s="18">
        <v>145079000</v>
      </c>
      <c r="C11" s="18">
        <v>165884000</v>
      </c>
      <c r="D11" s="18">
        <v>296243000</v>
      </c>
      <c r="E11" s="18">
        <v>234919000</v>
      </c>
      <c r="F11" s="8" t="s">
        <v>95</v>
      </c>
    </row>
    <row r="12" spans="1:6" x14ac:dyDescent="0.25">
      <c r="A12" t="s">
        <v>32</v>
      </c>
      <c r="B12" s="34">
        <v>238034700</v>
      </c>
      <c r="C12" s="34">
        <v>251630412</v>
      </c>
      <c r="D12" s="34">
        <v>234373124</v>
      </c>
      <c r="E12" s="34">
        <v>251630412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2026-09-19T00:07:52Z</dcterms:modified>
</cp:coreProperties>
</file>