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<sst xmlns="http://schemas.openxmlformats.org/spreadsheetml/2006/main" count="113" uniqueCount="101">
  <si>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Liontown Limited (LTR.AX)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</si>
  <si>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</si>
  <si>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</si>
  <si>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</si>
  <si>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</si>
  <si>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</si>
  <si>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</si>
  <si>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</si>
  <si>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</si>
  <si>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</si>
  <si>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</si>
  <si>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</si>
  <si>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</si>
  <si>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</si>
  <si>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</si>
  <si>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</si>
  <si>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</si>
  <si>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</si>
  <si>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</si>
  <si>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</si>
  <si>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</si>
  <si>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</si>
  <si>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</si>
  <si>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</si>
  <si>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</si>
  <si>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</si>
  <si>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</si>
  <si>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</si>
  <si>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</si>
  <si>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</si>
  <si>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</si>
  <si>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</si>
  <si>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</si>
  <si>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</si>
  <si>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</si>
  <si>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</si>
  <si>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</si>
  <si>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</si>
  <si>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</si>
  <si>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</si>
  <si>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</si>
  <si>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</si>
  <si>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</si>
  <si>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</si>
  <si>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</si>
  <si>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</si>
  <si>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</si>
  <si>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</si>
  <si>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</si>
  <si>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</si>
  <si>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</si>
  <si>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</si>
  <si>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</si>
  <si>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</si>
  <si>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</si>
  <si>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</si>
  <si>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</si>
  <si>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</si>
  <si>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</si>
  <si>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</si>
  <si>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</si>
  <si>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</si>
  <si>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</si>
  <si>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</si>
  <si>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</si>
  <si>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</si>
  <si>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</si>
  <si>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</si>
  <si>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</si>
  <si>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</si>
  <si>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</si>
  <si>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</si>
  <si>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</si>
  <si>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</si>
  <si>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</si>
  <si>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</si>
  <si>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</si>
  <si>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</si>
  <si>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</si>
  <si>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</si>
  <si>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</si>
  <si>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</si>
  <si>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</si>
  <si>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</si>
  <si>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</si>
  <si>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</si>
  <si>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</si>
  <si>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</si>
  <si>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</si>
  <si>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</si>
  <si>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</si>
  <si>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</si>
  <si>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</si>
  <si>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</si>
  <si>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</si>
  <si>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</si>
  <si>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</si>
  <si>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Only 2 year(s) of history available to anchor assumptions on.</t>
  </si>
  <si>
    <t>Adjusted: Free cashflow is negative in at least one forecast year, so terminal value carries most of the valuation.</t>
  </si>
  <si>
    <t>Adjusted: Capital expenditure runs at 66.1% of revenue against depreciation of 36.9%.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</si>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</sst>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-0.2733697472073706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0.36910659080593156</v>
      </c>
    </row>
    <row r="10" spans="1:2" x14ac:dyDescent="0.25">
      <c r="A10" t="s">
        <v>8</v>
      </c>
      <c r="B10" s="6">
        <v>0.6605195212969777</v>
      </c>
    </row>
    <row r="11" spans="1:2" x14ac:dyDescent="0.25">
      <c r="A11" t="s">
        <v>9</v>
      </c>
      <c r="B11" s="6">
        <v>0.1854607094864611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17.78658872985687</v>
      </c>
    </row>
    <row r="14" spans="1:3" x14ac:dyDescent="0.25">
      <c r="A14" t="s">
        <v>12</v>
      </c>
      <c r="B14" s="6">
        <v>0.11556780020248708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1.23651</v>
      </c>
      <c r="C19" s="8" t="s">
        <v>19</v>
      </c>
    </row>
    <row r="20" spans="1:2" x14ac:dyDescent="0.25">
      <c r="A20" t="s">
        <v>20</v>
      </c>
      <c r="B20" s="10">
        <f>B17+B19*B18</f>
        <v>0.1276706</v>
      </c>
    </row>
    <row r="21" spans="1:3" x14ac:dyDescent="0.25">
      <c r="A21" t="s">
        <v>21</v>
      </c>
      <c r="B21" s="6">
        <v>0.053590930696478495</v>
      </c>
      <c r="C21" s="8" t="s">
        <v>22</v>
      </c>
    </row>
    <row r="22" spans="1:2" x14ac:dyDescent="0.25">
      <c r="A22" t="s">
        <v>23</v>
      </c>
      <c r="B22" s="11">
        <v>3255820544</v>
      </c>
    </row>
    <row r="23" spans="1:2" x14ac:dyDescent="0.25">
      <c r="A23" t="s">
        <v>24</v>
      </c>
      <c r="B23" s="11">
        <v>504836000</v>
      </c>
    </row>
    <row r="24" spans="1:2" x14ac:dyDescent="0.25">
      <c r="A24" t="s">
        <v>25</v>
      </c>
      <c r="B24" s="10">
        <f>B22/(B22+B23)</f>
        <v>0.8657585466544535</v>
      </c>
    </row>
    <row r="25" spans="1:2" x14ac:dyDescent="0.25">
      <c r="A25" t="s">
        <v>26</v>
      </c>
      <c r="B25" s="10">
        <f>1-B24</f>
        <v>0.1342414533455465</v>
      </c>
    </row>
    <row r="26" spans="1:2" x14ac:dyDescent="0.25">
      <c r="A26" t="s">
        <v>27</v>
      </c>
      <c r="B26" s="12">
        <f>B24*B20+B25*B21*(1-B8)</f>
        <v>0.11556780020248708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639136000</v>
      </c>
      <c r="C29" s="8" t="s">
        <v>30</v>
      </c>
    </row>
    <row r="30" spans="1:2" x14ac:dyDescent="0.25">
      <c r="A30" t="s">
        <v>31</v>
      </c>
      <c r="B30" s="11">
        <v>-57116000</v>
      </c>
    </row>
    <row r="31" spans="1:2" x14ac:dyDescent="0.25">
      <c r="A31" t="s">
        <v>32</v>
      </c>
      <c r="B31" s="13">
        <v>3179111000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958704000</v>
      </c>
      <c r="C6" s="18">
        <f>B6*(1+C5)</f>
        <v>1438056000</v>
      </c>
      <c r="D6" s="18">
        <f>C6*(1+D5)</f>
        <v>2157084000</v>
      </c>
      <c r="E6" s="18">
        <f>D6*(1+E5)</f>
        <v>3235626000</v>
      </c>
      <c r="F6" s="18">
        <f>E6*(1+F5)</f>
        <v>4853439000</v>
      </c>
    </row>
    <row r="7" spans="1:6" x14ac:dyDescent="0.25">
      <c r="A7" t="s">
        <v>5</v>
      </c>
      <c r="B7" s="10">
        <f>Assumptions!B7</f>
        <v>-0.2733697472073706</v>
      </c>
      <c r="C7" s="10">
        <f>Assumptions!B7</f>
        <v>-0.2733697472073706</v>
      </c>
      <c r="D7" s="10">
        <f>Assumptions!B7</f>
        <v>-0.2733697472073706</v>
      </c>
      <c r="E7" s="10">
        <f>Assumptions!B7</f>
        <v>-0.2733697472073706</v>
      </c>
      <c r="F7" s="10">
        <f>Assumptions!B7</f>
        <v>-0.2733697472073706</v>
      </c>
    </row>
    <row r="8" spans="1:6" x14ac:dyDescent="0.25">
      <c r="A8" t="s">
        <v>44</v>
      </c>
      <c r="B8" s="18">
        <f>B6*B7</f>
        <v>-262080670.12669504</v>
      </c>
      <c r="C8" s="18">
        <f>C6*C7</f>
        <v>-393121005.19004256</v>
      </c>
      <c r="D8" s="18">
        <f>D6*D7</f>
        <v>-589681507.7850639</v>
      </c>
      <c r="E8" s="18">
        <f>E6*E7</f>
        <v>-884522261.6775957</v>
      </c>
      <c r="F8" s="18">
        <f>F6*F7</f>
        <v>-1326783392.5163937</v>
      </c>
    </row>
    <row r="9" spans="1:6" x14ac:dyDescent="0.25">
      <c r="A9" t="s">
        <v>45</v>
      </c>
      <c r="B9" s="18">
        <f>B8*(1-Assumptions!B8)</f>
        <v>-183456469.08868653</v>
      </c>
      <c r="C9" s="18">
        <f>C8*(1-Assumptions!B8)</f>
        <v>-275184703.63302976</v>
      </c>
      <c r="D9" s="18">
        <f>D8*(1-Assumptions!B8)</f>
        <v>-412777055.44954467</v>
      </c>
      <c r="E9" s="18">
        <f>E8*(1-Assumptions!B8)</f>
        <v>-619165583.174317</v>
      </c>
      <c r="F9" s="18">
        <f>F8*(1-Assumptions!B8)</f>
        <v>-928748374.7614756</v>
      </c>
    </row>
    <row r="10" spans="1:6" x14ac:dyDescent="0.25">
      <c r="A10" t="s">
        <v>46</v>
      </c>
      <c r="B10" s="18">
        <f>B6*Assumptions!B9</f>
        <v>353863965.0320098</v>
      </c>
      <c r="C10" s="18">
        <f>C6*Assumptions!B9</f>
        <v>530795947.5480147</v>
      </c>
      <c r="D10" s="18">
        <f>D6*Assumptions!B9</f>
        <v>796193921.3220221</v>
      </c>
      <c r="E10" s="18">
        <f>E6*Assumptions!B9</f>
        <v>1194290881.9830332</v>
      </c>
      <c r="F10" s="18">
        <f>F6*Assumptions!B9</f>
        <v>1791436322.9745495</v>
      </c>
    </row>
    <row r="11" spans="1:6" x14ac:dyDescent="0.25">
      <c r="A11" t="s">
        <v>47</v>
      </c>
      <c r="B11" s="18">
        <f>-B6*Assumptions!B10</f>
        <v>-633242707.1454977</v>
      </c>
      <c r="C11" s="18">
        <f>-C6*Assumptions!B10</f>
        <v>-949864060.7182465</v>
      </c>
      <c r="D11" s="18">
        <f>-D6*Assumptions!B10</f>
        <v>-1424796091.0773697</v>
      </c>
      <c r="E11" s="18">
        <f>-E6*Assumptions!B10</f>
        <v>-2137194136.6160545</v>
      </c>
      <c r="F11" s="18">
        <f>-F6*Assumptions!B10</f>
        <v>-3205791204.924082</v>
      </c>
    </row>
    <row r="12" spans="1:6" x14ac:dyDescent="0.25">
      <c r="A12" t="s">
        <v>48</v>
      </c>
      <c r="B12" s="18">
        <f>-(B6-Assumptions!B29)*Assumptions!B11</f>
        <v>-59267308.0091694</v>
      </c>
      <c r="C12" s="18">
        <f>-(C6-B6)*Assumptions!B11</f>
        <v>-88900962.0137541</v>
      </c>
      <c r="D12" s="18">
        <f>-(D6-C6)*Assumptions!B11</f>
        <v>-133351443.02063115</v>
      </c>
      <c r="E12" s="18">
        <f>-(E6-D6)*Assumptions!B11</f>
        <v>-200027164.53094673</v>
      </c>
      <c r="F12" s="18">
        <f>-(F6-E6)*Assumptions!B11</f>
        <v>-300040746.7964201</v>
      </c>
    </row>
    <row r="13" spans="1:6" x14ac:dyDescent="0.25">
      <c r="A13" s="19" t="s">
        <v>49</v>
      </c>
      <c r="B13" s="20">
        <f>B9+B10+B11+B12</f>
        <v>-522102519.2113438</v>
      </c>
      <c r="C13" s="20">
        <f>C9+C10+C11+C12</f>
        <v>-783153778.8170156</v>
      </c>
      <c r="D13" s="20">
        <f>D9+D10+D11+D12</f>
        <v>-1174730668.2255235</v>
      </c>
      <c r="E13" s="20">
        <f>E9+E10+E11+E12</f>
        <v>-1762096002.338285</v>
      </c>
      <c r="F13" s="20">
        <f>F9+F10+F11+F12</f>
        <v>-2643144003.507428</v>
      </c>
    </row>
    <row r="14" spans="1:6" x14ac:dyDescent="0.25">
      <c r="A14" t="s">
        <v>50</v>
      </c>
      <c r="B14" s="21">
        <f>1/(1+Assumptions!$B$26)^(1-0.5*Assumptions!$B$32)</f>
        <v>0.9467864085659614</v>
      </c>
      <c r="C14" s="21">
        <f>1/(1+Assumptions!$B$26)^(2-0.5*Assumptions!$B$32)</f>
        <v>0.8487036004392651</v>
      </c>
      <c r="D14" s="21">
        <f>1/(1+Assumptions!$B$26)^(3-0.5*Assumptions!$B$32)</f>
        <v>0.7607817295239397</v>
      </c>
      <c r="E14" s="21">
        <f>1/(1+Assumptions!$B$26)^(4-0.5*Assumptions!$B$32)</f>
        <v>0.6819681684841118</v>
      </c>
      <c r="F14" s="21">
        <f>1/(1+Assumptions!$B$26)^(5-0.5*Assumptions!$B$32)</f>
        <v>0.6113193374354544</v>
      </c>
    </row>
    <row r="15" spans="1:6" x14ac:dyDescent="0.25">
      <c r="A15" s="19" t="s">
        <v>51</v>
      </c>
      <c r="B15" s="20">
        <f>B13*B14</f>
        <v>-494319569.0673491</v>
      </c>
      <c r="C15" s="20">
        <f>C13*C14</f>
        <v>-664665431.7796171</v>
      </c>
      <c r="D15" s="20">
        <f>D13*D14</f>
        <v>-893713629.4974272</v>
      </c>
      <c r="E15" s="20">
        <f>E13*E14</f>
        <v>-1201693383.4078155</v>
      </c>
      <c r="F15" s="20">
        <f>F13*F14</f>
        <v>-1615805040.9706554</v>
      </c>
    </row>
    <row r="17" spans="1:2" x14ac:dyDescent="0.25">
      <c r="A17" s="22" t="s">
        <v>52</v>
      </c>
      <c r="B17" s="23">
        <f>SUM(B15:F15)</f>
        <v>-4870197054.722864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-2643144003.507428</v>
      </c>
    </row>
    <row r="5" spans="1:2" x14ac:dyDescent="0.25">
      <c r="A5" t="s">
        <v>56</v>
      </c>
      <c r="B5" s="18">
        <f>IF(Assumptions!$B$33=0,B4,B4-Forecast!F11-Forecast!F10-Forecast!F12)</f>
        <v>-928748374.7614756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0.21632323152467506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-4870197054.722864</v>
      </c>
    </row>
    <row r="12" spans="1:2" x14ac:dyDescent="0.25">
      <c r="A12" t="s">
        <v>63</v>
      </c>
      <c r="B12" s="18">
        <f>-Assumptions!B30</f>
        <v>57116000</v>
      </c>
    </row>
    <row r="13" spans="1:2" x14ac:dyDescent="0.25">
      <c r="A13" t="s">
        <v>64</v>
      </c>
      <c r="B13" s="18">
        <f>B11+B12</f>
        <v>-4813081054.722864</v>
      </c>
    </row>
    <row r="14" spans="1:2" x14ac:dyDescent="0.25">
      <c r="A14" s="19" t="s">
        <v>65</v>
      </c>
      <c r="B14" s="24">
        <f>B13/Assumptions!B31</f>
        <v>-1.5139707467662702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464652930.4581559</v>
      </c>
    </row>
    <row r="18" spans="1:2" x14ac:dyDescent="0.25">
      <c r="A18" t="s">
        <v>60</v>
      </c>
      <c r="B18" s="18">
        <f>B17*Assumptions!B13</f>
        <v>8264590576.182003</v>
      </c>
    </row>
    <row r="19" spans="1:2" x14ac:dyDescent="0.25">
      <c r="A19" t="s">
        <v>61</v>
      </c>
      <c r="B19" s="18">
        <f>B18/(1+Assumptions!B26)^(5-0.5*Assumptions!B32)</f>
        <v>5052304035.206882</v>
      </c>
    </row>
    <row r="20" spans="1:2" x14ac:dyDescent="0.25">
      <c r="A20" t="s">
        <v>62</v>
      </c>
      <c r="B20" s="18">
        <f>Forecast!B17+B19</f>
        <v>182106980.48401833</v>
      </c>
    </row>
    <row r="21" spans="1:2" x14ac:dyDescent="0.25">
      <c r="A21" t="s">
        <v>63</v>
      </c>
      <c r="B21" s="18">
        <f>-Assumptions!B30</f>
        <v>57116000</v>
      </c>
    </row>
    <row r="22" spans="1:2" x14ac:dyDescent="0.25">
      <c r="A22" t="s">
        <v>64</v>
      </c>
      <c r="B22" s="18">
        <f>B20+B21</f>
        <v>239222980.48401833</v>
      </c>
    </row>
    <row r="23" spans="1:2" x14ac:dyDescent="0.25">
      <c r="A23" s="19" t="s">
        <v>65</v>
      </c>
      <c r="B23" s="25">
        <f>B22/Assumptions!B31</f>
        <v>0.07524838877410016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1.02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-1.5139707467662702</v>
      </c>
    </row>
    <row r="29" spans="1:2" x14ac:dyDescent="0.25">
      <c r="A29" s="19" t="s">
        <v>73</v>
      </c>
      <c r="B29" s="12">
        <f>B28/B26-1</f>
        <v>-2.4842850458492842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0.095568</v>
      </c>
      <c r="B5" s="31">
        <v>-1.6019548793038074</v>
      </c>
      <c r="C5" s="31">
        <v>-1.6019548793038074</v>
      </c>
      <c r="D5" s="31">
        <v>-1.6019548793038074</v>
      </c>
      <c r="E5" s="31">
        <v>-1.6019548793038074</v>
      </c>
      <c r="F5" s="31">
        <v>-1.6019548793038074</v>
      </c>
    </row>
    <row r="6" spans="1:6" x14ac:dyDescent="0.25">
      <c r="A6" s="30">
        <v>0.105568</v>
      </c>
      <c r="B6" s="31">
        <v>-1.5570347163963976</v>
      </c>
      <c r="C6" s="31">
        <v>-1.5570347163963976</v>
      </c>
      <c r="D6" s="31">
        <v>-1.5570347163963976</v>
      </c>
      <c r="E6" s="31">
        <v>-1.5570347163963976</v>
      </c>
      <c r="F6" s="31">
        <v>-1.5570347163963976</v>
      </c>
    </row>
    <row r="7" spans="1:6" x14ac:dyDescent="0.25">
      <c r="A7" s="30">
        <v>0.115568</v>
      </c>
      <c r="B7" s="31">
        <v>-1.5139699042293784</v>
      </c>
      <c r="C7" s="31">
        <v>-1.5139699042293784</v>
      </c>
      <c r="D7" s="32">
        <v>-1.5139699042293784</v>
      </c>
      <c r="E7" s="31">
        <v>-1.5139699042293784</v>
      </c>
      <c r="F7" s="31">
        <v>-1.5139699042293784</v>
      </c>
    </row>
    <row r="8" spans="1:6" x14ac:dyDescent="0.25">
      <c r="A8" s="30">
        <v>0.125568</v>
      </c>
      <c r="B8" s="31">
        <v>-1.4726647872904806</v>
      </c>
      <c r="C8" s="31">
        <v>-1.4726647872904806</v>
      </c>
      <c r="D8" s="31">
        <v>-1.4726647872904806</v>
      </c>
      <c r="E8" s="31">
        <v>-1.4726647872904806</v>
      </c>
      <c r="F8" s="31">
        <v>-1.4726647872904806</v>
      </c>
    </row>
    <row r="9" spans="1:6" x14ac:dyDescent="0.25">
      <c r="A9" s="30">
        <v>0.135568</v>
      </c>
      <c r="B9" s="31">
        <v>-1.4330295290393176</v>
      </c>
      <c r="C9" s="31">
        <v>-1.4330295290393176</v>
      </c>
      <c r="D9" s="31">
        <v>-1.4330295290393176</v>
      </c>
      <c r="E9" s="31">
        <v>-1.4330295290393176</v>
      </c>
      <c r="F9" s="31">
        <v>-1.4330295290393176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3" width="17" customWidth="1"/>
    <col min="4" max="4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4" x14ac:dyDescent="0.25">
      <c r="A4" s="16" t="s">
        <v>78</v>
      </c>
      <c r="B4" s="17" t="s">
        <v>79</v>
      </c>
      <c r="C4" s="17" t="s">
        <v>80</v>
      </c>
      <c r="D4" s="33" t="s">
        <v>81</v>
      </c>
    </row>
    <row r="5" spans="1:4" x14ac:dyDescent="0.25">
      <c r="A5" t="s">
        <v>43</v>
      </c>
      <c r="B5" s="18">
        <v>639136000</v>
      </c>
      <c r="C5" s="18">
        <v>297565000</v>
      </c>
      <c r="D5" s="8" t="s">
        <v>82</v>
      </c>
    </row>
    <row r="6" spans="1:4" x14ac:dyDescent="0.25">
      <c r="A6" t="s">
        <v>44</v>
      </c>
      <c r="B6" s="18">
        <v>49905000</v>
      </c>
      <c r="C6" s="18">
        <v>-185925000</v>
      </c>
      <c r="D6" s="8" t="s">
        <v>83</v>
      </c>
    </row>
    <row r="7" spans="1:4" x14ac:dyDescent="0.25">
      <c r="A7" t="s">
        <v>84</v>
      </c>
      <c r="B7" s="18">
        <v>129933000</v>
      </c>
      <c r="C7" s="18">
        <v>159173000</v>
      </c>
      <c r="D7" s="8" t="s">
        <v>85</v>
      </c>
    </row>
    <row r="8" spans="1:4" x14ac:dyDescent="0.25">
      <c r="A8" t="s">
        <v>86</v>
      </c>
      <c r="B8" s="18">
        <v>134041000</v>
      </c>
      <c r="C8" s="18">
        <v>330689000</v>
      </c>
      <c r="D8" s="8" t="s">
        <v>87</v>
      </c>
    </row>
    <row r="9" spans="1:4" x14ac:dyDescent="0.25">
      <c r="A9" t="s">
        <v>88</v>
      </c>
      <c r="B9" s="18">
        <v>63348000</v>
      </c>
      <c r="C9" s="18">
        <v>-12049000</v>
      </c>
      <c r="D9" s="8" t="s">
        <v>89</v>
      </c>
    </row>
    <row r="10" spans="1:4" x14ac:dyDescent="0.25">
      <c r="A10" t="s">
        <v>90</v>
      </c>
      <c r="B10" s="18">
        <v>504836000</v>
      </c>
      <c r="C10" s="18">
        <v>831099000</v>
      </c>
      <c r="D10" s="8" t="s">
        <v>91</v>
      </c>
    </row>
    <row r="11" spans="1:4" x14ac:dyDescent="0.25">
      <c r="A11" t="s">
        <v>92</v>
      </c>
      <c r="B11" s="18">
        <v>561952000</v>
      </c>
      <c r="C11" s="18">
        <v>181932000</v>
      </c>
      <c r="D11" s="8" t="s">
        <v>93</v>
      </c>
    </row>
    <row r="12" spans="1:4" x14ac:dyDescent="0.25">
      <c r="A12" t="s">
        <v>32</v>
      </c>
      <c r="B12" s="34">
        <v>3179111000</v>
      </c>
      <c r="C12" s="34">
        <v>2426438000</v>
      </c>
      <c r="D12" s="8" t="s">
        <v>94</v>
      </c>
    </row>
    <row r="15" spans="1:1" x14ac:dyDescent="0.25">
      <c r="A15" s="19" t="s">
        <v>95</v>
      </c>
    </row>
    <row r="16" ht="38" customHeight="1" spans="1:4" x14ac:dyDescent="0.25">
      <c r="A16" s="35" t="s">
        <v>96</v>
      </c>
      <c r="B16" s="35"/>
      <c r="C16" s="35"/>
      <c r="D16" s="35"/>
    </row>
    <row r="17" ht="22" customHeight="1" spans="1:4" x14ac:dyDescent="0.25">
      <c r="A17" s="35" t="s">
        <v>97</v>
      </c>
      <c r="B17" s="35"/>
      <c r="C17" s="35"/>
      <c r="D17" s="35"/>
    </row>
    <row r="18" ht="38" customHeight="1" spans="1:4" x14ac:dyDescent="0.25">
      <c r="A18" s="35" t="s">
        <v>98</v>
      </c>
      <c r="B18" s="35"/>
      <c r="C18" s="35"/>
      <c r="D18" s="35"/>
    </row>
    <row r="19" ht="54" customHeight="1" spans="1:4" x14ac:dyDescent="0.25">
      <c r="A19" s="35" t="s">
        <v>99</v>
      </c>
      <c r="B19" s="35"/>
      <c r="C19" s="35"/>
      <c r="D19" s="35"/>
    </row>
    <row r="21" spans="1:1" x14ac:dyDescent="0.25">
      <c r="A21" s="36" t="s">
        <v>100</v>
      </c>
    </row>
  </sheetData>
  <mergeCells count="4">
    <mergeCell ref="A16:D16"/>
    <mergeCell ref="A17:D17"/>
    <mergeCell ref="A18:D18"/>
    <mergeCell ref="A19:D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