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<sst xmlns="http://schemas.openxmlformats.org/spreadsheetml/2006/main" count="112" uniqueCount="100">
  <si>
    <t>lululemon athletica inc. (LULU)</t>
  </si>
  <si>
    <t>DCF Studio - Base case</t>
  </si>
  <si>
    <t>Blue figures on a cream fill are inputs. Every other figure is a formula - change an input and the model reprices. Currency figures are USD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</si>
  <si>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</si>
  <si>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</si>
  <si>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</si>
  <si>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</si>
  <si>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</si>
  <si>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</si>
  <si>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</si>
  <si>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</si>
  <si>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</si>
  <si>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</si>
  <si>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</si>
  <si>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</si>
  <si>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</si>
  <si>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US 10-year Treasury (^TNX)</t>
  </si>
  <si>
    <t>Equity risk premium</t>
  </si>
  <si>
    <t>Beta</t>
  </si>
  <si>
    <t>As reported</t>
  </si>
  <si>
    <t>Cost of equity</t>
  </si>
  <si>
    <t>Cost of debt</t>
  </si>
  <si>
    <t>Assumed: risk-free + 2bp (interest expense not reported)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</si>
  <si>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</si>
  <si>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</si>
  <si>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</si>
  <si>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</si>
  <si>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</si>
  <si>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</si>
  <si>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</si>
  <si>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2026-01-31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</si>
  <si>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</si>
  <si>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</si>
  <si>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</si>
  <si>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</si>
  <si>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</si>
  <si>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</si>
  <si>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</si>
  <si>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FY27</t>
  </si>
  <si>
    <t>FY28</t>
  </si>
  <si>
    <t>FY29</t>
  </si>
  <si>
    <t>FY30</t>
  </si>
  <si>
    <t>FY31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</si>
  <si>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</si>
  <si>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</si>
  <si>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</si>
  <si>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</si>
  <si>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</si>
  <si>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</si>
  <si>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</si>
  <si>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</si>
  <si>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</si>
  <si>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</si>
  <si>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(USD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</si>
  <si>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</si>
  <si>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</si>
  <si>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</si>
  <si>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</si>
  <si>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</si>
  <si>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</si>
  <si>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</si>
  <si>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</si>
  <si>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</si>
  <si>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</si>
  <si>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</si>
  <si>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</si>
  <si>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</si>
  <si>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</si>
  <si>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</si>
  <si>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</si>
  <si>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</si>
  <si>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</si>
  <si>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</si>
  <si>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</si>
  <si>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</si>
  <si>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</si>
  <si>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</si>
  <si>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What the model was built from. "derived" means the figure was not reported and was computed - the note says how.</t>
  </si>
  <si>
    <t>Fiscal year end</t>
  </si>
  <si>
    <t>2026-01-31</t>
  </si>
  <si>
    <t>2025-01-31</t>
  </si>
  <si>
    <t>2024-01-31</t>
  </si>
  <si>
    <t>2023-01-31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</si>
  <si>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</si>
  <si>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</si>
  <si>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</si>
  <si>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</si>
  <si>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</si>
  <si>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</si>
  <si>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</si>
  <si>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</si>
  <si>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</si>
  <si>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</si>
  <si>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</si>
  <si>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</si>
  <si>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cashAndCashEquivalents</t>
  </si>
  <si>
    <t>dilutedAverageShares</t>
  </si>
  <si>
    <t>Model notes</t>
  </si>
  <si>
    <t>Adjusted: Capital expenditure runs at 6.8% of revenue against depreciation of 4.1%. A perpetuity has to be a steady state, so the terminal year uses maintenance capex at depreciation and then charges the reinvestment terminal growth requires (g/ROIC of NOPAT). The bridge is shown under Terminal Value.</t>
  </si>
  <si>
    <t>Data: Yahoo Finance. Risk-free rate: US 10-year Treasury (^TNX).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</si>
</sst>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0.11034694078962404</v>
      </c>
    </row>
    <row r="7" spans="1:2" x14ac:dyDescent="0.25">
      <c r="A7" t="s">
        <v>5</v>
      </c>
      <c r="B7" s="6">
        <v>0.2195101091964141</v>
      </c>
    </row>
    <row r="8" spans="1:2" x14ac:dyDescent="0.25">
      <c r="A8" t="s">
        <v>6</v>
      </c>
      <c r="B8" s="6">
        <v>0.21</v>
      </c>
    </row>
    <row r="9" spans="1:2" x14ac:dyDescent="0.25">
      <c r="A9" t="s">
        <v>7</v>
      </c>
      <c r="B9" s="6">
        <v>0.040570933128061704</v>
      </c>
    </row>
    <row r="10" spans="1:2" x14ac:dyDescent="0.25">
      <c r="A10" t="s">
        <v>8</v>
      </c>
      <c r="B10" s="6">
        <v>0.06823119213409827</v>
      </c>
    </row>
    <row r="11" spans="1:2" x14ac:dyDescent="0.25">
      <c r="A11" t="s">
        <v>9</v>
      </c>
      <c r="B11" s="6">
        <v>0.05356361369378891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4.007422583430217</v>
      </c>
    </row>
    <row r="14" spans="1:3" x14ac:dyDescent="0.25">
      <c r="A14" t="s">
        <v>12</v>
      </c>
      <c r="B14" s="6">
        <v>0.4225413575735566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0.049980000000000004</v>
      </c>
      <c r="C17" s="8" t="s">
        <v>16</v>
      </c>
    </row>
    <row r="18" spans="1:2" x14ac:dyDescent="0.25">
      <c r="A18" t="s">
        <v>17</v>
      </c>
      <c r="B18" s="6">
        <v>0.055</v>
      </c>
    </row>
    <row r="19" spans="1:3" x14ac:dyDescent="0.25">
      <c r="A19" t="s">
        <v>18</v>
      </c>
      <c r="B19" s="9">
        <v>0.90888</v>
      </c>
      <c r="C19" s="8" t="s">
        <v>19</v>
      </c>
    </row>
    <row r="20" spans="1:2" x14ac:dyDescent="0.25">
      <c r="A20" t="s">
        <v>20</v>
      </c>
      <c r="B20" s="10">
        <f>B17+B19*B18</f>
        <v>0.09996840000000001</v>
      </c>
    </row>
    <row r="21" spans="1:3" x14ac:dyDescent="0.25">
      <c r="A21" t="s">
        <v>21</v>
      </c>
      <c r="B21" s="6">
        <v>0.06998</v>
      </c>
      <c r="C21" s="8" t="s">
        <v>22</v>
      </c>
    </row>
    <row r="22" spans="1:2" x14ac:dyDescent="0.25">
      <c r="A22" t="s">
        <v>23</v>
      </c>
      <c r="B22" s="11">
        <v>10856224768</v>
      </c>
    </row>
    <row r="23" spans="1:2" x14ac:dyDescent="0.25">
      <c r="A23" t="s">
        <v>24</v>
      </c>
      <c r="B23" s="11">
        <v>1798441000</v>
      </c>
    </row>
    <row r="24" spans="1:2" x14ac:dyDescent="0.25">
      <c r="A24" t="s">
        <v>25</v>
      </c>
      <c r="B24" s="10">
        <f>B22/(B22+B23)</f>
        <v>0.8578831687085929</v>
      </c>
    </row>
    <row r="25" spans="1:2" x14ac:dyDescent="0.25">
      <c r="A25" t="s">
        <v>26</v>
      </c>
      <c r="B25" s="10">
        <f>1-B24</f>
        <v>0.14211683129140706</v>
      </c>
    </row>
    <row r="26" spans="1:2" x14ac:dyDescent="0.25">
      <c r="A26" t="s">
        <v>27</v>
      </c>
      <c r="B26" s="12">
        <f>B24*B20+B25*B21*(1-B8)</f>
        <v>0.09361802308720851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11102600000</v>
      </c>
      <c r="C29" s="8" t="s">
        <v>30</v>
      </c>
    </row>
    <row r="30" spans="1:2" x14ac:dyDescent="0.25">
      <c r="A30" t="s">
        <v>31</v>
      </c>
      <c r="B30" s="11">
        <v>-8761000</v>
      </c>
    </row>
    <row r="31" spans="1:2" x14ac:dyDescent="0.25">
      <c r="A31" t="s">
        <v>32</v>
      </c>
      <c r="B31" s="13">
        <v>119068000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0.11034694078962404</v>
      </c>
      <c r="C5" s="10">
        <f>Assumptions!B6</f>
        <v>0.11034694078962404</v>
      </c>
      <c r="D5" s="10">
        <f>Assumptions!B6</f>
        <v>0.11034694078962404</v>
      </c>
      <c r="E5" s="10">
        <f>Assumptions!B6</f>
        <v>0.11034694078962404</v>
      </c>
      <c r="F5" s="10">
        <f>Assumptions!B6</f>
        <v>0.11034694078962404</v>
      </c>
    </row>
    <row r="6" spans="1:6" x14ac:dyDescent="0.25">
      <c r="A6" t="s">
        <v>43</v>
      </c>
      <c r="B6" s="18">
        <f>Assumptions!B29*(1+B5)</f>
        <v>12327737944.81088</v>
      </c>
      <c r="C6" s="18">
        <f>B6*(1+C5)</f>
        <v>13688066113.876928</v>
      </c>
      <c r="D6" s="18">
        <f>C6*(1+D5)</f>
        <v>15198502334.869366</v>
      </c>
      <c r="E6" s="18">
        <f>D6*(1+E5)</f>
        <v>16875610572.10616</v>
      </c>
      <c r="F6" s="18">
        <f>E6*(1+F5)</f>
        <v>18737782572.69511</v>
      </c>
    </row>
    <row r="7" spans="1:6" x14ac:dyDescent="0.25">
      <c r="A7" t="s">
        <v>5</v>
      </c>
      <c r="B7" s="10">
        <f>Assumptions!B7</f>
        <v>0.2195101091964141</v>
      </c>
      <c r="C7" s="10">
        <f>Assumptions!B7</f>
        <v>0.2195101091964141</v>
      </c>
      <c r="D7" s="10">
        <f>Assumptions!B7</f>
        <v>0.2195101091964141</v>
      </c>
      <c r="E7" s="10">
        <f>Assumptions!B7</f>
        <v>0.2195101091964141</v>
      </c>
      <c r="F7" s="10">
        <f>Assumptions!B7</f>
        <v>0.2195101091964141</v>
      </c>
    </row>
    <row r="8" spans="1:6" x14ac:dyDescent="0.25">
      <c r="A8" t="s">
        <v>44</v>
      </c>
      <c r="B8" s="18">
        <f>B6*B7</f>
        <v>2706063102.410214</v>
      </c>
      <c r="C8" s="18">
        <f>C6*C7</f>
        <v>3004668887.34486</v>
      </c>
      <c r="D8" s="18">
        <f>D6*D7</f>
        <v>3336224907.149129</v>
      </c>
      <c r="E8" s="18">
        <f>E6*E7</f>
        <v>3704367119.439183</v>
      </c>
      <c r="F8" s="18">
        <f>F6*F7</f>
        <v>4113132698.6309686</v>
      </c>
    </row>
    <row r="9" spans="1:6" x14ac:dyDescent="0.25">
      <c r="A9" t="s">
        <v>45</v>
      </c>
      <c r="B9" s="18">
        <f>B8*(1-Assumptions!B8)</f>
        <v>2137789850.9040692</v>
      </c>
      <c r="C9" s="18">
        <f>C8*(1-Assumptions!B8)</f>
        <v>2373688421.0024395</v>
      </c>
      <c r="D9" s="18">
        <f>D8*(1-Assumptions!B8)</f>
        <v>2635617676.647812</v>
      </c>
      <c r="E9" s="18">
        <f>E8*(1-Assumptions!B8)</f>
        <v>2926450024.356955</v>
      </c>
      <c r="F9" s="18">
        <f>F8*(1-Assumptions!B8)</f>
        <v>3249374831.918465</v>
      </c>
    </row>
    <row r="10" spans="1:6" x14ac:dyDescent="0.25">
      <c r="A10" t="s">
        <v>46</v>
      </c>
      <c r="B10" s="18">
        <f>B6*Assumptions!B9</f>
        <v>500147831.7791911</v>
      </c>
      <c r="C10" s="18">
        <f>C6*Assumptions!B9</f>
        <v>555337614.9585882</v>
      </c>
      <c r="D10" s="18">
        <f>D6*Assumptions!B9</f>
        <v>616617421.8746747</v>
      </c>
      <c r="E10" s="18">
        <f>E6*Assumptions!B9</f>
        <v>684659268.0161301</v>
      </c>
      <c r="F10" s="18">
        <f>F6*Assumptions!B9</f>
        <v>760209323.7249733</v>
      </c>
    </row>
    <row r="11" spans="1:6" x14ac:dyDescent="0.25">
      <c r="A11" t="s">
        <v>47</v>
      </c>
      <c r="B11" s="18">
        <f>-B6*Assumptions!B10</f>
        <v>-841136256.2912049</v>
      </c>
      <c r="C11" s="18">
        <f>-C6*Assumptions!B10</f>
        <v>-933953068.9601766</v>
      </c>
      <c r="D11" s="18">
        <f>-D6*Assumptions!B10</f>
        <v>-1037011932.9610128</v>
      </c>
      <c r="E11" s="18">
        <f>-E6*Assumptions!B10</f>
        <v>-1151443027.3255954</v>
      </c>
      <c r="F11" s="18">
        <f>-F6*Assumptions!B10</f>
        <v>-1278501242.8845181</v>
      </c>
    </row>
    <row r="12" spans="1:6" x14ac:dyDescent="0.25">
      <c r="A12" t="s">
        <v>48</v>
      </c>
      <c r="B12" s="18">
        <f>-(B6-Assumptions!B29)*Assumptions!B11</f>
        <v>-65622815.59745249</v>
      </c>
      <c r="C12" s="18">
        <f>-(C6-B6)*Assumptions!B11</f>
        <v>-72864092.54463294</v>
      </c>
      <c r="D12" s="18">
        <f>-(D6-C6)*Assumptions!B11</f>
        <v>-80904422.25034529</v>
      </c>
      <c r="E12" s="18">
        <f>-(E6-D6)*Assumptions!B11</f>
        <v>-89831977.7420229</v>
      </c>
      <c r="F12" s="18">
        <f>-(F6-E6)*Assumptions!B11</f>
        <v>-99744661.67093663</v>
      </c>
    </row>
    <row r="13" spans="1:6" x14ac:dyDescent="0.25">
      <c r="A13" s="19" t="s">
        <v>49</v>
      </c>
      <c r="B13" s="20">
        <f>B9+B10+B11+B12</f>
        <v>1731178610.794603</v>
      </c>
      <c r="C13" s="20">
        <f>C9+C10+C11+C12</f>
        <v>1922208874.4562182</v>
      </c>
      <c r="D13" s="20">
        <f>D9+D10+D11+D12</f>
        <v>2134318743.3111286</v>
      </c>
      <c r="E13" s="20">
        <f>E9+E10+E11+E12</f>
        <v>2369834287.3054667</v>
      </c>
      <c r="F13" s="20">
        <f>F9+F10+F11+F12</f>
        <v>2631338251.0879836</v>
      </c>
    </row>
    <row r="14" spans="1:6" x14ac:dyDescent="0.25">
      <c r="A14" t="s">
        <v>50</v>
      </c>
      <c r="B14" s="21">
        <f>1/(1+Assumptions!$B$26)^(1-0.5*Assumptions!$B$32)</f>
        <v>0.9562405814044604</v>
      </c>
      <c r="C14" s="21">
        <f>1/(1+Assumptions!$B$26)^(2-0.5*Assumptions!$B$32)</f>
        <v>0.8743826100314797</v>
      </c>
      <c r="D14" s="21">
        <f>1/(1+Assumptions!$B$26)^(3-0.5*Assumptions!$B$32)</f>
        <v>0.7995320043859169</v>
      </c>
      <c r="E14" s="21">
        <f>1/(1+Assumptions!$B$26)^(4-0.5*Assumptions!$B$32)</f>
        <v>0.7310889062790799</v>
      </c>
      <c r="F14" s="21">
        <f>1/(1+Assumptions!$B$26)^(5-0.5*Assumptions!$B$32)</f>
        <v>0.6685048077529538</v>
      </c>
    </row>
    <row r="15" spans="1:6" x14ac:dyDescent="0.25">
      <c r="A15" s="19" t="s">
        <v>51</v>
      </c>
      <c r="B15" s="20">
        <f>B13*B14</f>
        <v>1655423241.3011975</v>
      </c>
      <c r="C15" s="20">
        <f>C13*C14</f>
        <v>1680746012.672701</v>
      </c>
      <c r="D15" s="20">
        <f>D13*D14</f>
        <v>1706456142.837978</v>
      </c>
      <c r="E15" s="20">
        <f>E13*E14</f>
        <v>1732559557.1688163</v>
      </c>
      <c r="F15" s="20">
        <f>F13*F14</f>
        <v>1759062271.6765664</v>
      </c>
    </row>
    <row r="17" spans="1:2" x14ac:dyDescent="0.25">
      <c r="A17" s="22" t="s">
        <v>52</v>
      </c>
      <c r="B17" s="23">
        <f>SUM(B15:F15)</f>
        <v>8534247225.657259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2631338251.0879836</v>
      </c>
    </row>
    <row r="5" spans="1:2" x14ac:dyDescent="0.25">
      <c r="A5" t="s">
        <v>56</v>
      </c>
      <c r="B5" s="18">
        <f>IF(Assumptions!$B$33=0,B4,B4-Forecast!F11-Forecast!F10-Forecast!F12)</f>
        <v>3258896993.3643436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0.05916580602562192</v>
      </c>
    </row>
    <row r="7" spans="1:2" x14ac:dyDescent="0.25">
      <c r="A7" t="s">
        <v>58</v>
      </c>
      <c r="B7" s="18">
        <f>-MAX(Forecast!F9,0)*B6</f>
        <v>-192815267.36687726</v>
      </c>
    </row>
    <row r="8" spans="1:2" x14ac:dyDescent="0.25">
      <c r="A8" t="s">
        <v>59</v>
      </c>
      <c r="B8" s="18">
        <f>IF(OR(Assumptions!$B$33=0,Assumptions!B12&lt;=0),B5,MAX(B5+B7,0))</f>
        <v>3066081725.9974666</v>
      </c>
    </row>
    <row r="9" spans="1:2" x14ac:dyDescent="0.25">
      <c r="A9" t="s">
        <v>60</v>
      </c>
      <c r="B9" s="18">
        <f>B8*(1+Assumptions!B12)/(Assumptions!B26-Assumptions!B12)</f>
        <v>45800412599.37228</v>
      </c>
    </row>
    <row r="10" spans="1:2" x14ac:dyDescent="0.25">
      <c r="A10" t="s">
        <v>61</v>
      </c>
      <c r="B10" s="18">
        <f>B9/(1+Assumptions!B26)^(5-0.5*Assumptions!B32)</f>
        <v>30617796019.74933</v>
      </c>
    </row>
    <row r="11" spans="1:2" x14ac:dyDescent="0.25">
      <c r="A11" t="s">
        <v>62</v>
      </c>
      <c r="B11" s="18">
        <f>Forecast!B17+B10</f>
        <v>39152043245.406586</v>
      </c>
    </row>
    <row r="12" spans="1:2" x14ac:dyDescent="0.25">
      <c r="A12" t="s">
        <v>63</v>
      </c>
      <c r="B12" s="18">
        <f>-Assumptions!B30</f>
        <v>8761000</v>
      </c>
    </row>
    <row r="13" spans="1:2" x14ac:dyDescent="0.25">
      <c r="A13" t="s">
        <v>64</v>
      </c>
      <c r="B13" s="18">
        <f>B11+B12</f>
        <v>39160804245.406586</v>
      </c>
    </row>
    <row r="14" spans="1:2" x14ac:dyDescent="0.25">
      <c r="A14" s="19" t="s">
        <v>65</v>
      </c>
      <c r="B14" s="24">
        <f>B13/Assumptions!B31</f>
        <v>328.8944489317582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4873342022.355942</v>
      </c>
    </row>
    <row r="18" spans="1:2" x14ac:dyDescent="0.25">
      <c r="A18" t="s">
        <v>60</v>
      </c>
      <c r="B18" s="18">
        <f>B17*Assumptions!B13</f>
        <v>19529540877.168686</v>
      </c>
    </row>
    <row r="19" spans="1:2" x14ac:dyDescent="0.25">
      <c r="A19" t="s">
        <v>61</v>
      </c>
      <c r="B19" s="18">
        <f>B18/(1+Assumptions!B26)^(5-0.5*Assumptions!B32)</f>
        <v>13055591969.595106</v>
      </c>
    </row>
    <row r="20" spans="1:2" x14ac:dyDescent="0.25">
      <c r="A20" t="s">
        <v>62</v>
      </c>
      <c r="B20" s="18">
        <f>Forecast!B17+B19</f>
        <v>21589839195.252365</v>
      </c>
    </row>
    <row r="21" spans="1:2" x14ac:dyDescent="0.25">
      <c r="A21" t="s">
        <v>63</v>
      </c>
      <c r="B21" s="18">
        <f>-Assumptions!B30</f>
        <v>8761000</v>
      </c>
    </row>
    <row r="22" spans="1:2" x14ac:dyDescent="0.25">
      <c r="A22" t="s">
        <v>64</v>
      </c>
      <c r="B22" s="18">
        <f>B20+B21</f>
        <v>21598600195.252365</v>
      </c>
    </row>
    <row r="23" spans="1:2" x14ac:dyDescent="0.25">
      <c r="A23" s="19" t="s">
        <v>65</v>
      </c>
      <c r="B23" s="25">
        <f>B22/Assumptions!B31</f>
        <v>181.39718644180104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98.06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328.8944489317582</v>
      </c>
    </row>
    <row r="29" spans="1:2" x14ac:dyDescent="0.25">
      <c r="A29" s="19" t="s">
        <v>73</v>
      </c>
      <c r="B29" s="12">
        <f>B28/B26-1</f>
        <v>2.354012328490293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0.073618</v>
      </c>
      <c r="B5" s="31">
        <v>407.24041601905407</v>
      </c>
      <c r="C5" s="31">
        <v>435.51648782971927</v>
      </c>
      <c r="D5" s="31">
        <v>469.56013739282855</v>
      </c>
      <c r="E5" s="31">
        <v>511.3548042582627</v>
      </c>
      <c r="F5" s="31">
        <v>563.9111378520628</v>
      </c>
    </row>
    <row r="6" spans="1:6" x14ac:dyDescent="0.25">
      <c r="A6" s="30">
        <v>0.083618</v>
      </c>
      <c r="B6" s="31">
        <v>345.49969782509396</v>
      </c>
      <c r="C6" s="31">
        <v>364.7095796632721</v>
      </c>
      <c r="D6" s="31">
        <v>387.1580968763493</v>
      </c>
      <c r="E6" s="31">
        <v>413.75127972698925</v>
      </c>
      <c r="F6" s="31">
        <v>445.7678723956074</v>
      </c>
    </row>
    <row r="7" spans="1:6" x14ac:dyDescent="0.25">
      <c r="A7" s="30">
        <v>0.093618</v>
      </c>
      <c r="B7" s="31">
        <v>299.5872553177685</v>
      </c>
      <c r="C7" s="31">
        <v>313.2603651682865</v>
      </c>
      <c r="D7" s="32">
        <v>328.89456370819545</v>
      </c>
      <c r="E7" s="31">
        <v>346.9522409896956</v>
      </c>
      <c r="F7" s="31">
        <v>368.0535509096083</v>
      </c>
    </row>
    <row r="8" spans="1:6" x14ac:dyDescent="0.25">
      <c r="A8" s="30">
        <v>0.103618</v>
      </c>
      <c r="B8" s="31">
        <v>264.1388501835113</v>
      </c>
      <c r="C8" s="31">
        <v>274.2179927915383</v>
      </c>
      <c r="D8" s="31">
        <v>285.552741042266</v>
      </c>
      <c r="E8" s="31">
        <v>298.3989302564112</v>
      </c>
      <c r="F8" s="31">
        <v>313.08696374580535</v>
      </c>
    </row>
    <row r="9" spans="1:6" x14ac:dyDescent="0.25">
      <c r="A9" s="30">
        <v>0.113618</v>
      </c>
      <c r="B9" s="31">
        <v>235.9663399404138</v>
      </c>
      <c r="C9" s="31">
        <v>243.60181518405398</v>
      </c>
      <c r="D9" s="31">
        <v>252.07638857295967</v>
      </c>
      <c r="E9" s="31">
        <v>261.5405835850783</v>
      </c>
      <c r="F9" s="31">
        <v>272.18321606853857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11102600000</v>
      </c>
      <c r="C5" s="18">
        <v>10588126000</v>
      </c>
      <c r="D5" s="18">
        <v>9619278000</v>
      </c>
      <c r="E5" s="18">
        <v>8110518000</v>
      </c>
      <c r="F5" s="8" t="s">
        <v>84</v>
      </c>
    </row>
    <row r="6" spans="1:6" x14ac:dyDescent="0.25">
      <c r="A6" t="s">
        <v>44</v>
      </c>
      <c r="B6" s="18">
        <v>2210615000</v>
      </c>
      <c r="C6" s="18">
        <v>2505697000</v>
      </c>
      <c r="D6" s="18">
        <v>2207177000</v>
      </c>
      <c r="E6" s="18">
        <v>1726141000</v>
      </c>
      <c r="F6" s="8" t="s">
        <v>85</v>
      </c>
    </row>
    <row r="7" spans="1:6" x14ac:dyDescent="0.25">
      <c r="A7" t="s">
        <v>86</v>
      </c>
      <c r="B7" s="18">
        <v>496228000</v>
      </c>
      <c r="C7" s="18">
        <v>446524000</v>
      </c>
      <c r="D7" s="18">
        <v>379384000</v>
      </c>
      <c r="E7" s="18">
        <v>291791000</v>
      </c>
      <c r="F7" s="8" t="s">
        <v>87</v>
      </c>
    </row>
    <row r="8" spans="1:6" x14ac:dyDescent="0.25">
      <c r="A8" t="s">
        <v>88</v>
      </c>
      <c r="B8" s="18">
        <v>680802000</v>
      </c>
      <c r="C8" s="18">
        <v>689232000</v>
      </c>
      <c r="D8" s="18">
        <v>651865000</v>
      </c>
      <c r="E8" s="18">
        <v>638657000</v>
      </c>
      <c r="F8" s="8" t="s">
        <v>89</v>
      </c>
    </row>
    <row r="9" spans="1:6" x14ac:dyDescent="0.25">
      <c r="A9" t="s">
        <v>90</v>
      </c>
      <c r="B9" s="18">
        <v>409440000</v>
      </c>
      <c r="C9" s="18">
        <v>51895000</v>
      </c>
      <c r="D9" s="18">
        <v>-199223000</v>
      </c>
      <c r="E9" s="18">
        <v>659920000</v>
      </c>
      <c r="F9" s="8" t="s">
        <v>91</v>
      </c>
    </row>
    <row r="10" spans="1:6" x14ac:dyDescent="0.25">
      <c r="A10" t="s">
        <v>92</v>
      </c>
      <c r="B10" s="18">
        <v>1798441000</v>
      </c>
      <c r="C10" s="18">
        <v>1575791000</v>
      </c>
      <c r="D10" s="18">
        <v>1403282000</v>
      </c>
      <c r="E10" s="18">
        <v>1070334000</v>
      </c>
      <c r="F10" s="8" t="s">
        <v>93</v>
      </c>
    </row>
    <row r="11" spans="1:6" x14ac:dyDescent="0.25">
      <c r="A11" t="s">
        <v>94</v>
      </c>
      <c r="B11" s="18">
        <v>1807202000</v>
      </c>
      <c r="C11" s="18">
        <v>1984336000</v>
      </c>
      <c r="D11" s="18">
        <v>2243971000</v>
      </c>
      <c r="E11" s="18">
        <v>1154867000</v>
      </c>
      <c r="F11" s="8" t="s">
        <v>95</v>
      </c>
    </row>
    <row r="12" spans="1:6" x14ac:dyDescent="0.25">
      <c r="A12" t="s">
        <v>32</v>
      </c>
      <c r="B12" s="34">
        <v>119068000</v>
      </c>
      <c r="C12" s="34">
        <v>123935000</v>
      </c>
      <c r="D12" s="34">
        <v>127060000</v>
      </c>
      <c r="E12" s="34">
        <v>128017000</v>
      </c>
      <c r="F12" s="8" t="s">
        <v>96</v>
      </c>
    </row>
    <row r="15" spans="1:1" x14ac:dyDescent="0.25">
      <c r="A15" s="19" t="s">
        <v>97</v>
      </c>
    </row>
    <row r="16" ht="54" customHeight="1" spans="1:6" x14ac:dyDescent="0.25">
      <c r="A16" s="35" t="s">
        <v>98</v>
      </c>
      <c r="B16" s="35"/>
      <c r="C16" s="35"/>
      <c r="D16" s="35"/>
      <c r="E16" s="35"/>
      <c r="F16" s="35"/>
    </row>
    <row r="18" spans="1:1" x14ac:dyDescent="0.25">
      <c r="A18" s="36" t="s">
        <v>99</v>
      </c>
    </row>
  </sheetData>
  <mergeCells count="1">
    <mergeCell ref="A16:F16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2026-09-19T00:08:14Z</dcterms:modified>
</cp:coreProperties>
</file>