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<sst xmlns="http://schemas.openxmlformats.org/spreadsheetml/2006/main" count="120" uniqueCount="107">
  <si>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lululemon athletica inc. (LULU)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</si>
  <si>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</si>
  <si>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</si>
  <si>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</si>
  <si>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</si>
  <si>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</si>
  <si>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</si>
  <si>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</si>
  <si>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</si>
  <si>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</si>
  <si>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</si>
  <si>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</si>
  <si>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</si>
  <si>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</si>
  <si>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</si>
  <si>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</si>
  <si>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</si>
  <si>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</si>
  <si>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</si>
  <si>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</si>
  <si>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</si>
  <si>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</si>
  <si>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</si>
  <si>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</si>
  <si>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</si>
  <si>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</si>
  <si>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</si>
  <si>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</si>
  <si>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</si>
  <si>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</si>
  <si>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</si>
  <si>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</si>
  <si>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</si>
  <si>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</si>
  <si>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</si>
  <si>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</si>
  <si>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</si>
  <si>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</si>
  <si>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</si>
  <si>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</si>
  <si>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</si>
  <si>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</si>
  <si>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</si>
  <si>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</si>
  <si>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</si>
  <si>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</si>
  <si>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</si>
  <si>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</si>
  <si>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</si>
  <si>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</si>
  <si>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</si>
  <si>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</si>
  <si>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</si>
  <si>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</si>
  <si>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</si>
  <si>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</si>
  <si>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</si>
  <si>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</si>
  <si>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</si>
  <si>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</si>
  <si>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</si>
  <si>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</si>
  <si>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</si>
  <si>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</si>
  <si>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</si>
  <si>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</si>
  <si>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</si>
  <si>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</si>
  <si>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</si>
  <si>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</si>
  <si>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</si>
  <si>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</si>
  <si>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</si>
  <si>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</si>
  <si>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</si>
  <si>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</si>
  <si>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</si>
  <si>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</si>
  <si>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</si>
  <si>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</si>
  <si>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</si>
  <si>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</si>
  <si>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</si>
  <si>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</si>
  <si>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</si>
  <si>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</si>
  <si>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</si>
  <si>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</si>
  <si>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</si>
  <si>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</si>
  <si>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</si>
  <si>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</si>
  <si>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</si>
  <si>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</si>
  <si>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</si>
  <si>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</si>
  <si>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</si>
  <si>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</si>
  <si>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</si>
  <si>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</si>
  <si>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</si>
  <si>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</si>
  <si>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</si>
  <si>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</si>
  <si>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</si>
  <si>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Adjusted: Capital expenditure runs at 6.8% of revenue against depreciation of 4.1%.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</si>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</sst>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-0.05714350512492572</v>
      </c>
    </row>
    <row r="7" spans="1:2" x14ac:dyDescent="0.25">
      <c r="A7" t="s">
        <v>4</v>
      </c>
      <c r="B7" s="5">
        <v>0.2195101091964141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0.040570933128061704</v>
      </c>
    </row>
    <row r="10" spans="1:3" x14ac:dyDescent="0.25">
      <c r="A10" t="s">
        <v>7</v>
      </c>
      <c r="B10" s="5">
        <v>0.06823119213409827</v>
      </c>
      <c r="C10" s="6" t="s">
        <v>8</v>
      </c>
    </row>
    <row r="11" spans="1:2" x14ac:dyDescent="0.25">
      <c r="A11" t="s">
        <v>9</v>
      </c>
      <c r="B11" s="5">
        <v>0.1312106593687105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4.585569746010389</v>
      </c>
    </row>
    <row r="14" spans="1:3" x14ac:dyDescent="0.25">
      <c r="A14" t="s">
        <v>12</v>
      </c>
      <c r="B14" s="5">
        <v>0.4225413575735566</v>
      </c>
      <c r="C14" s="6" t="s">
        <v>13</v>
      </c>
    </row>
    <row r="15" spans="1:3" x14ac:dyDescent="0.25">
      <c r="A15" t="s">
        <v>14</v>
      </c>
      <c r="B15" s="5">
        <v>0.03992766763642357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0.94774</v>
      </c>
      <c r="C19" s="6" t="s">
        <v>21</v>
      </c>
    </row>
    <row r="20" spans="1:2" x14ac:dyDescent="0.25">
      <c r="A20" t="s">
        <v>22</v>
      </c>
      <c r="B20" s="9">
        <f>B17+B19*B18</f>
        <v>0.08902940200000001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12421178368</v>
      </c>
    </row>
    <row r="23" spans="1:2" x14ac:dyDescent="0.25">
      <c r="A23" t="s">
        <v>26</v>
      </c>
      <c r="B23" s="10">
        <v>1798441000</v>
      </c>
    </row>
    <row r="24" spans="1:2" x14ac:dyDescent="0.25">
      <c r="A24" t="s">
        <v>27</v>
      </c>
      <c r="B24" s="9">
        <f>B22/(B22+B23)</f>
        <v>0.8735239704061817</v>
      </c>
    </row>
    <row r="25" spans="1:2" x14ac:dyDescent="0.25">
      <c r="A25" t="s">
        <v>28</v>
      </c>
      <c r="B25" s="9">
        <f>1-B24</f>
        <v>0.12647602959381832</v>
      </c>
    </row>
    <row r="26" spans="1:2" x14ac:dyDescent="0.25">
      <c r="A26" t="s">
        <v>29</v>
      </c>
      <c r="B26" s="11">
        <f>B24*B20+B25*B21*(1-B8)</f>
        <v>0.08465753012728434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11102600000</v>
      </c>
      <c r="C29" s="6" t="s">
        <v>32</v>
      </c>
    </row>
    <row r="30" spans="1:2" x14ac:dyDescent="0.25">
      <c r="A30" t="s">
        <v>33</v>
      </c>
      <c r="B30" s="10">
        <v>-8761000</v>
      </c>
    </row>
    <row r="31" spans="1:2" x14ac:dyDescent="0.25">
      <c r="A31" t="s">
        <v>34</v>
      </c>
      <c r="B31" s="12">
        <v>119068000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-0.05714350512492572</v>
      </c>
      <c r="C5" s="5">
        <v>-0.01205976961074906</v>
      </c>
      <c r="D5" s="5">
        <v>-0.007427298409405428</v>
      </c>
      <c r="E5" s="5">
        <v>-0.002794827208061795</v>
      </c>
      <c r="F5" s="5">
        <v>0.0018376439932818386</v>
      </c>
      <c r="G5" s="5">
        <v>0.0064701151946254705</v>
      </c>
      <c r="H5" s="5">
        <v>0.011102586395969102</v>
      </c>
      <c r="I5" s="5">
        <v>0.015735057597312738</v>
      </c>
      <c r="J5" s="5">
        <v>0.020367528798656366</v>
      </c>
      <c r="K5" s="5">
        <v>0.025</v>
      </c>
    </row>
    <row r="6" spans="1:11" x14ac:dyDescent="0.25">
      <c r="A6" t="s">
        <v>50</v>
      </c>
      <c r="B6" s="18">
        <f>Assumptions!B29*(1+B5)</f>
        <v>10468158520</v>
      </c>
      <c r="C6" s="18">
        <f>B6*(1+C5)</f>
        <v>10341914940</v>
      </c>
      <c r="D6" s="18">
        <f>C6*(1+D5)</f>
        <v>10265102451.61593</v>
      </c>
      <c r="E6" s="18">
        <f>D6*(1+E5)</f>
        <v>10236413263.990612</v>
      </c>
      <c r="F6" s="18">
        <f>E6*(1+F5)</f>
        <v>10255224147.337936</v>
      </c>
      <c r="G6" s="18">
        <f>F6*(1+G5)</f>
        <v>10321576628.917917</v>
      </c>
      <c r="H6" s="18">
        <f>G6*(1+H5)</f>
        <v>10436172825.183094</v>
      </c>
      <c r="I6" s="18">
        <f>H6*(1+I5)</f>
        <v>10600386605.68286</v>
      </c>
      <c r="J6" s="18">
        <f>I6*(1+J5)</f>
        <v>10816290285.150997</v>
      </c>
      <c r="K6" s="18">
        <f>J6*(1+K5)</f>
        <v>11086697542.279772</v>
      </c>
    </row>
    <row r="7" spans="1:11" x14ac:dyDescent="0.25">
      <c r="A7" t="s">
        <v>4</v>
      </c>
      <c r="B7" s="9">
        <f>Assumptions!B7</f>
        <v>0.2195101091964141</v>
      </c>
      <c r="C7" s="9">
        <f>Assumptions!B7</f>
        <v>0.2195101091964141</v>
      </c>
      <c r="D7" s="9">
        <f>Assumptions!B7</f>
        <v>0.2195101091964141</v>
      </c>
      <c r="E7" s="9">
        <f>Assumptions!B7</f>
        <v>0.2195101091964141</v>
      </c>
      <c r="F7" s="9">
        <f>Assumptions!B7</f>
        <v>0.2195101091964141</v>
      </c>
      <c r="G7" s="9">
        <f>Assumptions!B7</f>
        <v>0.2195101091964141</v>
      </c>
      <c r="H7" s="9">
        <f>Assumptions!B7</f>
        <v>0.2195101091964141</v>
      </c>
      <c r="I7" s="9">
        <f>Assumptions!B7</f>
        <v>0.2195101091964141</v>
      </c>
      <c r="J7" s="9">
        <f>Assumptions!B7</f>
        <v>0.2195101091964141</v>
      </c>
      <c r="K7" s="9">
        <f>Assumptions!B7</f>
        <v>0.2195101091964141</v>
      </c>
    </row>
    <row r="8" spans="1:11" x14ac:dyDescent="0.25">
      <c r="A8" t="s">
        <v>51</v>
      </c>
      <c r="B8" s="18">
        <f>B6*B7</f>
        <v>2297866619.8105726</v>
      </c>
      <c r="C8" s="18">
        <f>C6*C7</f>
        <v>2270154877.779426</v>
      </c>
      <c r="D8" s="18">
        <f>D6*D7</f>
        <v>2253293760.066591</v>
      </c>
      <c r="E8" s="18">
        <f>E6*E7</f>
        <v>2246996193.358201</v>
      </c>
      <c r="F8" s="18">
        <f>F6*F7</f>
        <v>2251125372.415853</v>
      </c>
      <c r="G8" s="18">
        <f>G6*G7</f>
        <v>2265690412.8929276</v>
      </c>
      <c r="H8" s="18">
        <f>H6*H7</f>
        <v>2290845436.4485903</v>
      </c>
      <c r="I8" s="18">
        <f>I6*I7</f>
        <v>2326892021.33765</v>
      </c>
      <c r="J8" s="18">
        <f>J6*J7</f>
        <v>2374285061.5936084</v>
      </c>
      <c r="K8" s="18">
        <f>K6*K7</f>
        <v>2433642188.1334486</v>
      </c>
    </row>
    <row r="9" spans="1:11" x14ac:dyDescent="0.25">
      <c r="A9" t="s">
        <v>52</v>
      </c>
      <c r="B9" s="18">
        <f>B8*(1-Assumptions!B8)</f>
        <v>1815314629.6503525</v>
      </c>
      <c r="C9" s="18">
        <f>C8*(1-Assumptions!B8)</f>
        <v>1793422353.4457467</v>
      </c>
      <c r="D9" s="18">
        <f>D8*(1-Assumptions!B8)</f>
        <v>1780102070.452607</v>
      </c>
      <c r="E9" s="18">
        <f>E8*(1-Assumptions!B8)</f>
        <v>1775126992.7529788</v>
      </c>
      <c r="F9" s="18">
        <f>F8*(1-Assumptions!B8)</f>
        <v>1778389044.208524</v>
      </c>
      <c r="G9" s="18">
        <f>G8*(1-Assumptions!B8)</f>
        <v>1789895426.185413</v>
      </c>
      <c r="H9" s="18">
        <f>H8*(1-Assumptions!B8)</f>
        <v>1809767894.7943864</v>
      </c>
      <c r="I9" s="18">
        <f>I8*(1-Assumptions!B8)</f>
        <v>1838244696.8567433</v>
      </c>
      <c r="J9" s="18">
        <f>J8*(1-Assumptions!B8)</f>
        <v>1875685198.6589508</v>
      </c>
      <c r="K9" s="18">
        <f>K8*(1-Assumptions!B8)</f>
        <v>1922577328.6254244</v>
      </c>
    </row>
    <row r="10" spans="1:11" x14ac:dyDescent="0.25">
      <c r="A10" t="s">
        <v>53</v>
      </c>
      <c r="B10" s="18">
        <f>B6*Assumptions!B9</f>
        <v>424702959.2888694</v>
      </c>
      <c r="C10" s="18">
        <f>C6*Assumptions!B9</f>
        <v>419581139.44684225</v>
      </c>
      <c r="D10" s="18">
        <f>D6*Assumptions!B9</f>
        <v>416464785.1172122</v>
      </c>
      <c r="E10" s="18">
        <f>E6*Assumptions!B9</f>
        <v>415300838.00456697</v>
      </c>
      <c r="F10" s="18">
        <f>F6*Assumptions!B9</f>
        <v>416064013.094931</v>
      </c>
      <c r="G10" s="18">
        <f>G6*Assumptions!B9</f>
        <v>418755995.18799335</v>
      </c>
      <c r="H10" s="18">
        <f>H6*Assumptions!B9</f>
        <v>423405269.8033981</v>
      </c>
      <c r="I10" s="18">
        <f>I6*Assumptions!B9</f>
        <v>430067576.1107603</v>
      </c>
      <c r="J10" s="18">
        <f>J6*Assumptions!B9</f>
        <v>438826989.8525646</v>
      </c>
      <c r="K10" s="18">
        <f>K6*Assumptions!B9</f>
        <v>449797664.5988787</v>
      </c>
    </row>
    <row r="11" spans="1:11" x14ac:dyDescent="0.25">
      <c r="A11" t="s">
        <v>54</v>
      </c>
      <c r="B11" s="18">
        <f>-B6*B19</f>
        <v>-714254935.2683178</v>
      </c>
      <c r="C11" s="18">
        <f>-C6*C19</f>
        <v>-684942028.1030912</v>
      </c>
      <c r="D11" s="18">
        <f>-D6*D19</f>
        <v>-659309340.8820426</v>
      </c>
      <c r="E11" s="18">
        <f>-E6*E19</f>
        <v>-636978687.7067364</v>
      </c>
      <c r="F11" s="18">
        <f>-F6*F19</f>
        <v>-617623580.6296462</v>
      </c>
      <c r="G11" s="18">
        <f>-G6*G19</f>
        <v>-600961225.9054172</v>
      </c>
      <c r="H11" s="18">
        <f>-H6*H19</f>
        <v>-586745637.168047</v>
      </c>
      <c r="I11" s="18">
        <f>-I6*I19</f>
        <v>-574761629.9598229</v>
      </c>
      <c r="J11" s="18">
        <f>-J6*J19</f>
        <v>-564819493.0655457</v>
      </c>
      <c r="K11" s="18">
        <f>-K6*K19</f>
        <v>-556750154.1737167</v>
      </c>
    </row>
    <row r="12" spans="1:11" x14ac:dyDescent="0.25">
      <c r="A12" t="s">
        <v>55</v>
      </c>
      <c r="B12" s="18">
        <f>-(B6-Assumptions!B29)*Assumptions!B11</f>
        <v>83245484.92166056</v>
      </c>
      <c r="C12" s="18">
        <f>-(C6-B6)*Assumptions!B11</f>
        <v>16564503.372866556</v>
      </c>
      <c r="D12" s="18">
        <f>-(D6-C6)*Assumptions!B11</f>
        <v>10078617.248625169</v>
      </c>
      <c r="E12" s="18">
        <f>-(E6-D6)*Assumptions!B11</f>
        <v>3764327.225070694</v>
      </c>
      <c r="F12" s="18">
        <f>-(F6-E6)*Assumptions!B11</f>
        <v>-2468188.407310327</v>
      </c>
      <c r="G12" s="18">
        <f>-(G6-F6)*Assumptions!B11</f>
        <v>-8706152.858859506</v>
      </c>
      <c r="H12" s="18">
        <f>-(H6-G6)*Assumptions!B11</f>
        <v>-15036242.473100005</v>
      </c>
      <c r="I12" s="18">
        <f>-(I6-H6)*Assumptions!B11</f>
        <v>-21546598.416802913</v>
      </c>
      <c r="J12" s="18">
        <f>-(J6-I6)*Assumptions!B11</f>
        <v>-28328864.14314508</v>
      </c>
      <c r="K12" s="18">
        <f>-(K6-J6)*Assumptions!B11</f>
        <v>-35480314.505950965</v>
      </c>
    </row>
    <row r="13" spans="1:11" x14ac:dyDescent="0.25">
      <c r="A13" s="19" t="s">
        <v>56</v>
      </c>
      <c r="B13" s="20">
        <f>B9+B10+B11+B12</f>
        <v>1609008138.5925648</v>
      </c>
      <c r="C13" s="20">
        <f>C9+C10+C11+C12</f>
        <v>1544625968.1623645</v>
      </c>
      <c r="D13" s="20">
        <f>D9+D10+D11+D12</f>
        <v>1547336131.9364016</v>
      </c>
      <c r="E13" s="20">
        <f>E9+E10+E11+E12</f>
        <v>1557213470.27588</v>
      </c>
      <c r="F13" s="20">
        <f>F9+F10+F11+F12</f>
        <v>1574361288.2664983</v>
      </c>
      <c r="G13" s="20">
        <f>G9+G10+G11+G12</f>
        <v>1598984042.6091297</v>
      </c>
      <c r="H13" s="20">
        <f>H9+H10+H11+H12</f>
        <v>1631391284.9566376</v>
      </c>
      <c r="I13" s="20">
        <f>I9+I10+I11+I12</f>
        <v>1672004044.5908778</v>
      </c>
      <c r="J13" s="20">
        <f>J9+J10+J11+J12</f>
        <v>1721363831.302825</v>
      </c>
      <c r="K13" s="20">
        <f>K9+K10+K11+K12</f>
        <v>1780144524.5446358</v>
      </c>
    </row>
    <row r="14" spans="1:11" x14ac:dyDescent="0.25">
      <c r="A14" t="s">
        <v>57</v>
      </c>
      <c r="B14" s="21">
        <f>1/(1+Assumptions!$B$26)^(1-0.5*Assumptions!$B$32)</f>
        <v>0.9601822696092194</v>
      </c>
      <c r="C14" s="21">
        <f>1/(1+Assumptions!$B$26)^(2-0.5*Assumptions!$B$32)</f>
        <v>0.8852400347015913</v>
      </c>
      <c r="D14" s="21">
        <f>1/(1+Assumptions!$B$26)^(3-0.5*Assumptions!$B$32)</f>
        <v>0.8161470419125828</v>
      </c>
      <c r="E14" s="21">
        <f>1/(1+Assumptions!$B$26)^(4-0.5*Assumptions!$B$32)</f>
        <v>0.7524467578414434</v>
      </c>
      <c r="F14" s="21">
        <f>1/(1+Assumptions!$B$26)^(5-0.5*Assumptions!$B$32)</f>
        <v>0.6937182815235183</v>
      </c>
      <c r="G14" s="21">
        <f>1/(1+Assumptions!$B$26)^(6-0.5*Assumptions!$B$32)</f>
        <v>0.639573563318286</v>
      </c>
      <c r="H14" s="21">
        <f>1/(1+Assumptions!$B$26)^(7-0.5*Assumptions!$B$32)</f>
        <v>0.5896548408632099</v>
      </c>
      <c r="I14" s="21">
        <f>1/(1+Assumptions!$B$26)^(8-0.5*Assumptions!$B$32)</f>
        <v>0.5436322751514148</v>
      </c>
      <c r="J14" s="21">
        <f>1/(1+Assumptions!$B$26)^(9-0.5*Assumptions!$B$32)</f>
        <v>0.5012017711135235</v>
      </c>
      <c r="K14" s="21">
        <f>1/(1+Assumptions!$B$26)^(10-0.5*Assumptions!$B$32)</f>
        <v>0.4620829683030989</v>
      </c>
    </row>
    <row r="15" spans="1:11" x14ac:dyDescent="0.25">
      <c r="A15" s="19" t="s">
        <v>58</v>
      </c>
      <c r="B15" s="20">
        <f>B13*B14</f>
        <v>1544941086.3335142</v>
      </c>
      <c r="C15" s="20">
        <f>C13*C14</f>
        <v>1367364745.6570306</v>
      </c>
      <c r="D15" s="20">
        <f>D13*D14</f>
        <v>1262853806.9243522</v>
      </c>
      <c r="E15" s="20">
        <f>E13*E14</f>
        <v>1171720226.976109</v>
      </c>
      <c r="F15" s="20">
        <f>F13*F14</f>
        <v>1092163207.3933878</v>
      </c>
      <c r="G15" s="20">
        <f>G13*G14</f>
        <v>1022667921.8205991</v>
      </c>
      <c r="H15" s="20">
        <f>H13*H14</f>
        <v>961957768.5167336</v>
      </c>
      <c r="I15" s="20">
        <f>I13*I14</f>
        <v>908955362.8233064</v>
      </c>
      <c r="J15" s="20">
        <f>J13*J14</f>
        <v>862750600.9797363</v>
      </c>
      <c r="K15" s="20">
        <f>K13*K14</f>
        <v>822574465.910094</v>
      </c>
    </row>
    <row r="17" spans="1:2" x14ac:dyDescent="0.25">
      <c r="A17" s="22" t="s">
        <v>59</v>
      </c>
      <c r="B17" s="23">
        <f>SUM(B15:K15)</f>
        <v>11017949193.334864</v>
      </c>
    </row>
    <row r="19" spans="1:11" x14ac:dyDescent="0.25">
      <c r="A19" t="s">
        <v>7</v>
      </c>
      <c r="B19" s="9">
        <f>Assumptions!$B$10+($B$20-Assumptions!$B$10)*0/9</f>
        <v>0.06823119213409827</v>
      </c>
      <c r="C19" s="9">
        <f>Assumptions!$B$10+($B$20-Assumptions!$B$10)*1/9</f>
        <v>0.06622971007563627</v>
      </c>
      <c r="D19" s="9">
        <f>Assumptions!$B$10+($B$20-Assumptions!$B$10)*2/9</f>
        <v>0.06422822801717427</v>
      </c>
      <c r="E19" s="9">
        <f>Assumptions!$B$10+($B$20-Assumptions!$B$10)*3/9</f>
        <v>0.06222674595871227</v>
      </c>
      <c r="F19" s="9">
        <f>Assumptions!$B$10+($B$20-Assumptions!$B$10)*4/9</f>
        <v>0.060225263900250264</v>
      </c>
      <c r="G19" s="9">
        <f>Assumptions!$B$10+($B$20-Assumptions!$B$10)*5/9</f>
        <v>0.058223781841788266</v>
      </c>
      <c r="H19" s="9">
        <f>Assumptions!$B$10+($B$20-Assumptions!$B$10)*6/9</f>
        <v>0.05622229978332627</v>
      </c>
      <c r="I19" s="9">
        <f>Assumptions!$B$10+($B$20-Assumptions!$B$10)*7/9</f>
        <v>0.05422081772486426</v>
      </c>
      <c r="J19" s="9">
        <f>Assumptions!$B$10+($B$20-Assumptions!$B$10)*8/9</f>
        <v>0.05221933566640226</v>
      </c>
      <c r="K19" s="9">
        <f>Assumptions!$B$10+($B$20-Assumptions!$B$10)*9/9</f>
        <v>0.05021785360794026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0.05021785360794026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1780144524.5446358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1928211363.682115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0.05916580602562192</v>
      </c>
    </row>
    <row r="7" spans="1:2" x14ac:dyDescent="0.25">
      <c r="A7" t="s">
        <v>66</v>
      </c>
      <c r="B7" s="18">
        <f>-MAX(B5,0)*B6</f>
        <v>-114084179.52001595</v>
      </c>
    </row>
    <row r="8" spans="1:2" x14ac:dyDescent="0.25">
      <c r="A8" t="s">
        <v>67</v>
      </c>
      <c r="B8" s="18">
        <f>IF(OR(Assumptions!$B$33=0,Assumptions!B12&lt;=0),B5,MAX(B5+B7,0))</f>
        <v>1814127184.1620991</v>
      </c>
    </row>
    <row r="9" spans="1:2" x14ac:dyDescent="0.25">
      <c r="A9" t="s">
        <v>68</v>
      </c>
      <c r="B9" s="18">
        <f>B8*(1+Assumptions!B12)/(Assumptions!B26-Assumptions!B12)</f>
        <v>31169248203.852795</v>
      </c>
    </row>
    <row r="10" spans="1:2" x14ac:dyDescent="0.25">
      <c r="A10" t="s">
        <v>69</v>
      </c>
      <c r="B10" s="18">
        <f>B9/(1+Assumptions!B26)^(10-0.5*Assumptions!B32)</f>
        <v>14402778729.812334</v>
      </c>
    </row>
    <row r="11" spans="1:2" x14ac:dyDescent="0.25">
      <c r="A11" t="s">
        <v>70</v>
      </c>
      <c r="B11" s="18">
        <f>Forecast!B17+B10</f>
        <v>25420727923.147198</v>
      </c>
    </row>
    <row r="12" spans="1:2" x14ac:dyDescent="0.25">
      <c r="A12" t="s">
        <v>71</v>
      </c>
      <c r="B12" s="18">
        <f>-Assumptions!B30</f>
        <v>8761000</v>
      </c>
    </row>
    <row r="13" spans="1:2" x14ac:dyDescent="0.25">
      <c r="A13" t="s">
        <v>72</v>
      </c>
      <c r="B13" s="18">
        <f>B11+B12</f>
        <v>25429488923.147198</v>
      </c>
    </row>
    <row r="14" spans="1:2" x14ac:dyDescent="0.25">
      <c r="A14" s="19" t="s">
        <v>73</v>
      </c>
      <c r="B14" s="24">
        <f>B13/Assumptions!B31</f>
        <v>213.57114357465647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2883439852.7323275</v>
      </c>
    </row>
    <row r="18" spans="1:2" x14ac:dyDescent="0.25">
      <c r="A18" t="s">
        <v>68</v>
      </c>
      <c r="B18" s="18">
        <f>B17*Assumptions!B13</f>
        <v>13222214553.130013</v>
      </c>
    </row>
    <row r="19" spans="1:2" x14ac:dyDescent="0.25">
      <c r="A19" t="s">
        <v>69</v>
      </c>
      <c r="B19" s="18">
        <f>B18/(1+Assumptions!B26)^(10-0.5*Assumptions!B32)</f>
        <v>6109760148.250749</v>
      </c>
    </row>
    <row r="20" spans="1:2" x14ac:dyDescent="0.25">
      <c r="A20" t="s">
        <v>70</v>
      </c>
      <c r="B20" s="18">
        <f>Forecast!B17+B19</f>
        <v>17127709341.585613</v>
      </c>
    </row>
    <row r="21" spans="1:2" x14ac:dyDescent="0.25">
      <c r="A21" t="s">
        <v>71</v>
      </c>
      <c r="B21" s="18">
        <f>-Assumptions!B30</f>
        <v>8761000</v>
      </c>
    </row>
    <row r="22" spans="1:2" x14ac:dyDescent="0.25">
      <c r="A22" t="s">
        <v>72</v>
      </c>
      <c r="B22" s="18">
        <f>B20+B21</f>
        <v>17136470341.585613</v>
      </c>
    </row>
    <row r="23" spans="1:2" x14ac:dyDescent="0.25">
      <c r="A23" s="19" t="s">
        <v>73</v>
      </c>
      <c r="B23" s="25">
        <f>B22/Assumptions!B31</f>
        <v>143.92171147231508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107.24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213.57114357465647</v>
      </c>
    </row>
    <row r="29" spans="1:2" x14ac:dyDescent="0.25">
      <c r="A29" s="19" t="s">
        <v>81</v>
      </c>
      <c r="B29" s="11">
        <f>B28/B26-1</f>
        <v>0.9915250240083595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0.064658</v>
      </c>
      <c r="B5" s="31">
        <v>277.96467655411294</v>
      </c>
      <c r="C5" s="31">
        <v>295.6255017647938</v>
      </c>
      <c r="D5" s="31">
        <v>317.8645455825659</v>
      </c>
      <c r="E5" s="31">
        <v>346.66326334548575</v>
      </c>
      <c r="F5" s="31">
        <v>385.3393133304843</v>
      </c>
    </row>
    <row r="6" spans="1:6" x14ac:dyDescent="0.25">
      <c r="A6" s="30">
        <v>0.074658</v>
      </c>
      <c r="B6" s="31">
        <v>231.74009055257437</v>
      </c>
      <c r="C6" s="31">
        <v>242.35732625909895</v>
      </c>
      <c r="D6" s="31">
        <v>255.20702880535933</v>
      </c>
      <c r="E6" s="31">
        <v>271.0390526988578</v>
      </c>
      <c r="F6" s="31">
        <v>290.9814129733471</v>
      </c>
    </row>
    <row r="7" spans="1:6" x14ac:dyDescent="0.25">
      <c r="A7" s="30">
        <v>0.084658</v>
      </c>
      <c r="B7" s="31">
        <v>198.83910893691268</v>
      </c>
      <c r="C7" s="31">
        <v>205.60043832737196</v>
      </c>
      <c r="D7" s="32">
        <v>213.5695153690747</v>
      </c>
      <c r="E7" s="31">
        <v>223.07778678104947</v>
      </c>
      <c r="F7" s="31">
        <v>234.59019105365175</v>
      </c>
    </row>
    <row r="8" spans="1:6" x14ac:dyDescent="0.25">
      <c r="A8" s="30">
        <v>0.094658</v>
      </c>
      <c r="B8" s="31">
        <v>174.2394839406823</v>
      </c>
      <c r="C8" s="31">
        <v>178.716714451157</v>
      </c>
      <c r="D8" s="31">
        <v>183.89707574653556</v>
      </c>
      <c r="E8" s="31">
        <v>189.94368703516898</v>
      </c>
      <c r="F8" s="31">
        <v>197.0743522980627</v>
      </c>
    </row>
    <row r="9" spans="1:6" x14ac:dyDescent="0.25">
      <c r="A9" s="30">
        <v>0.104658</v>
      </c>
      <c r="B9" s="31">
        <v>155.15998936665287</v>
      </c>
      <c r="C9" s="31">
        <v>158.20478782795124</v>
      </c>
      <c r="D9" s="31">
        <v>161.68190600780133</v>
      </c>
      <c r="E9" s="31">
        <v>165.67820393162944</v>
      </c>
      <c r="F9" s="31">
        <v>170.30548061978743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11102600000</v>
      </c>
      <c r="C5" s="18">
        <v>10588126000</v>
      </c>
      <c r="D5" s="18">
        <v>9619278000</v>
      </c>
      <c r="E5" s="18">
        <v>8110518000</v>
      </c>
      <c r="F5" s="6" t="s">
        <v>91</v>
      </c>
    </row>
    <row r="6" spans="1:6" x14ac:dyDescent="0.25">
      <c r="A6" t="s">
        <v>51</v>
      </c>
      <c r="B6" s="18">
        <v>2210615000</v>
      </c>
      <c r="C6" s="18">
        <v>2505697000</v>
      </c>
      <c r="D6" s="18">
        <v>2207177000</v>
      </c>
      <c r="E6" s="18">
        <v>1726141000</v>
      </c>
      <c r="F6" s="6" t="s">
        <v>92</v>
      </c>
    </row>
    <row r="7" spans="1:6" x14ac:dyDescent="0.25">
      <c r="A7" t="s">
        <v>93</v>
      </c>
      <c r="B7" s="18">
        <v>496228000</v>
      </c>
      <c r="C7" s="18">
        <v>446524000</v>
      </c>
      <c r="D7" s="18">
        <v>379384000</v>
      </c>
      <c r="E7" s="18">
        <v>291791000</v>
      </c>
      <c r="F7" s="6" t="s">
        <v>94</v>
      </c>
    </row>
    <row r="8" spans="1:6" x14ac:dyDescent="0.25">
      <c r="A8" t="s">
        <v>95</v>
      </c>
      <c r="B8" s="18">
        <v>680802000</v>
      </c>
      <c r="C8" s="18">
        <v>689232000</v>
      </c>
      <c r="D8" s="18">
        <v>651865000</v>
      </c>
      <c r="E8" s="18">
        <v>638657000</v>
      </c>
      <c r="F8" s="6" t="s">
        <v>96</v>
      </c>
    </row>
    <row r="9" spans="1:6" x14ac:dyDescent="0.25">
      <c r="A9" t="s">
        <v>97</v>
      </c>
      <c r="B9" s="18">
        <v>409440000</v>
      </c>
      <c r="C9" s="18">
        <v>51895000</v>
      </c>
      <c r="D9" s="18">
        <v>-199223000</v>
      </c>
      <c r="E9" s="18">
        <v>659920000</v>
      </c>
      <c r="F9" s="6" t="s">
        <v>98</v>
      </c>
    </row>
    <row r="10" spans="1:6" x14ac:dyDescent="0.25">
      <c r="A10" t="s">
        <v>99</v>
      </c>
      <c r="B10" s="18">
        <v>1798441000</v>
      </c>
      <c r="C10" s="18">
        <v>1575791000</v>
      </c>
      <c r="D10" s="18">
        <v>1403282000</v>
      </c>
      <c r="E10" s="18">
        <v>1070334000</v>
      </c>
      <c r="F10" s="6" t="s">
        <v>100</v>
      </c>
    </row>
    <row r="11" spans="1:6" x14ac:dyDescent="0.25">
      <c r="A11" t="s">
        <v>101</v>
      </c>
      <c r="B11" s="18">
        <v>1807202000</v>
      </c>
      <c r="C11" s="18">
        <v>1984336000</v>
      </c>
      <c r="D11" s="18">
        <v>2243971000</v>
      </c>
      <c r="E11" s="18">
        <v>1154867000</v>
      </c>
      <c r="F11" s="6" t="s">
        <v>102</v>
      </c>
    </row>
    <row r="12" spans="1:6" x14ac:dyDescent="0.25">
      <c r="A12" t="s">
        <v>34</v>
      </c>
      <c r="B12" s="34">
        <v>119068000</v>
      </c>
      <c r="C12" s="34">
        <v>123935000</v>
      </c>
      <c r="D12" s="34">
        <v>127060000</v>
      </c>
      <c r="E12" s="34">
        <v>128017000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